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40" windowHeight="12315" tabRatio="679" activeTab="0"/>
  </bookViews>
  <sheets>
    <sheet name="Hidrológiai-hidraulikai méretez" sheetId="1" r:id="rId1"/>
    <sheet name="Szikkasztóárok méretezés" sheetId="2" r:id="rId2"/>
    <sheet name="Árok vízszáll képesség" sheetId="3" r:id="rId3"/>
    <sheet name="Gravitációs csat vízszáll képes" sheetId="4" r:id="rId4"/>
    <sheet name="Mederérdesség (n, k)" sheetId="5" r:id="rId5"/>
    <sheet name="Nyílt meder jellemzők" sheetId="6" r:id="rId6"/>
  </sheets>
  <definedNames>
    <definedName name="_xlnm.Print_Titles" localSheetId="0">'Hidrológiai-hidraulikai méretez'!$7:$7</definedName>
    <definedName name="_xlnm.Print_Area" localSheetId="2">'Árok vízszáll képesség'!$A$1:$K$29</definedName>
    <definedName name="_xlnm.Print_Area" localSheetId="0">'Hidrológiai-hidraulikai méretez'!$A$1:$T$23</definedName>
    <definedName name="_xlnm.Print_Area" localSheetId="5">'Nyílt meder jellemzők'!$A$1:$E$104</definedName>
    <definedName name="_xlnm.Print_Area" localSheetId="1">'Szikkasztóárok méretezés'!$A$1:$V$33</definedName>
  </definedNames>
  <calcPr fullCalcOnLoad="1"/>
</workbook>
</file>

<file path=xl/sharedStrings.xml><?xml version="1.0" encoding="utf-8"?>
<sst xmlns="http://schemas.openxmlformats.org/spreadsheetml/2006/main" count="321" uniqueCount="271">
  <si>
    <r>
      <t>Csat.-ban való mozgás  t</t>
    </r>
    <r>
      <rPr>
        <b/>
        <sz val="10"/>
        <rFont val="Arial CE"/>
        <family val="2"/>
      </rPr>
      <t>2</t>
    </r>
    <r>
      <rPr>
        <b/>
        <sz val="10"/>
        <rFont val="Arial CE"/>
        <family val="0"/>
      </rPr>
      <t xml:space="preserve">[min] </t>
    </r>
  </si>
  <si>
    <r>
      <t>Terepen való mozgás t</t>
    </r>
    <r>
      <rPr>
        <b/>
        <sz val="10"/>
        <rFont val="Arial CE"/>
        <family val="2"/>
      </rPr>
      <t>1</t>
    </r>
    <r>
      <rPr>
        <b/>
        <sz val="10"/>
        <rFont val="Arial CE"/>
        <family val="0"/>
      </rPr>
      <t xml:space="preserve">[min] </t>
    </r>
  </si>
  <si>
    <t>Megjegyzés</t>
  </si>
  <si>
    <t>Vizsgált vízgyűjtő területek jele</t>
  </si>
  <si>
    <r>
      <rPr>
        <b/>
        <sz val="10"/>
        <rFont val="Arial"/>
        <family val="2"/>
      </rPr>
      <t xml:space="preserve">Schrank-féle késleltetési tényező  </t>
    </r>
    <r>
      <rPr>
        <b/>
        <sz val="10"/>
        <rFont val="GreekC"/>
        <family val="0"/>
      </rPr>
      <t xml:space="preserve"> r </t>
    </r>
  </si>
  <si>
    <t>Teljes lefolyási idő  T=t1+t2  [min]</t>
  </si>
  <si>
    <t>Átlag-lejtés     I [‰]</t>
  </si>
  <si>
    <r>
      <t>Középse-besség     v</t>
    </r>
    <r>
      <rPr>
        <b/>
        <sz val="10"/>
        <rFont val="Arial CE"/>
        <family val="2"/>
      </rPr>
      <t>k</t>
    </r>
    <r>
      <rPr>
        <b/>
        <sz val="10"/>
        <rFont val="Arial CE"/>
        <family val="0"/>
      </rPr>
      <t xml:space="preserve"> [m/s]</t>
    </r>
  </si>
  <si>
    <r>
      <rPr>
        <b/>
        <sz val="10"/>
        <rFont val="Arial"/>
        <family val="2"/>
      </rPr>
      <t xml:space="preserve">Átlagos lefolyási tényező     </t>
    </r>
    <r>
      <rPr>
        <b/>
        <sz val="10"/>
        <rFont val="Symbol"/>
        <family val="1"/>
      </rPr>
      <t xml:space="preserve">  a</t>
    </r>
    <r>
      <rPr>
        <b/>
        <sz val="10"/>
        <rFont val="Arial CE"/>
        <family val="0"/>
      </rPr>
      <t xml:space="preserve"> </t>
    </r>
  </si>
  <si>
    <t>Forrás: Haszpra Ottó, HIDRAULIKA I. Az építőmérnök hallgatók részére, Tankönyvkiadó, Budapest, 1987, 104. o.</t>
  </si>
  <si>
    <t>Viszonylag rossz állapotban levő földcsatornák …</t>
  </si>
  <si>
    <t>14.</t>
  </si>
  <si>
    <t>…</t>
  </si>
  <si>
    <t>Jó terméskő burkolat, öreg, töredezett téglaburkolat, viszonylag durva beton, igen sima, jól megmunkált szikla.</t>
  </si>
  <si>
    <t>8.</t>
  </si>
  <si>
    <t>Közepes téglaburkolat, faragott kőburkolat, közepes viszonyok között. Erősen szennyezett vízlevezetők. Falécekre erősített vitorlavászon.</t>
  </si>
  <si>
    <t>7.</t>
  </si>
  <si>
    <t>Szennyezett csövek (vízvezetéki és vízelvezető) közepes viszonyok közti betoncsatorna.</t>
  </si>
  <si>
    <t>6.</t>
  </si>
  <si>
    <t>A legjobb viszonyok között llevő deszka burkolat, jó téglaburkolat. Normális viszonyok közti vízlevezető csövek, kissé szennyezett vízvezetéki csövek.</t>
  </si>
  <si>
    <t>5.</t>
  </si>
  <si>
    <t>Jól összeillesztett gyalulatlan deszkák, normális viszonyok közti vízvezetéki csövek észrevehető lerakódás nélkül, igen tiszta vízlevezető cső, igen jó betonburkolat.</t>
  </si>
  <si>
    <t>4.</t>
  </si>
  <si>
    <t>Legjobb cementvakolat 1/3 homok. Tiszta kőagyag-, öntöttvas- és fémcső jól lefektetve és összekapcsolva, jól legyalult deszkák.</t>
  </si>
  <si>
    <t>3.</t>
  </si>
  <si>
    <t>Igen pontosan legyalult, jól összeillesztett deszkák. Tiszta cementből készült, legjobb vakolat.</t>
  </si>
  <si>
    <t>2.</t>
  </si>
  <si>
    <t>100 - 110</t>
  </si>
  <si>
    <t>Műanyag csövekre javasolt érték</t>
  </si>
  <si>
    <t>Igen sima felület, zománcozott, vagy mázolt felület</t>
  </si>
  <si>
    <t>1.</t>
  </si>
  <si>
    <r>
      <t xml:space="preserve">Érdességi tényező    </t>
    </r>
    <r>
      <rPr>
        <b/>
        <sz val="11"/>
        <rFont val="Times New Roman"/>
        <family val="1"/>
      </rPr>
      <t>n</t>
    </r>
  </si>
  <si>
    <t>A meder anyaga</t>
  </si>
  <si>
    <t>(kivonat)</t>
  </si>
  <si>
    <t>Mederérdességi paraméterek Manning és Agroszkin képletéhez</t>
  </si>
  <si>
    <r>
      <t xml:space="preserve">Biztonsággal javasolt érték    </t>
    </r>
    <r>
      <rPr>
        <b/>
        <sz val="11"/>
        <rFont val="Times New Roman"/>
        <family val="1"/>
      </rPr>
      <t xml:space="preserve"> k</t>
    </r>
  </si>
  <si>
    <t>A1+A2+…</t>
  </si>
  <si>
    <t>Tervezett csatorna vízszállító max. képesség          Qmax    [l/s]</t>
  </si>
  <si>
    <t>Vizsgált csatorna jele</t>
  </si>
  <si>
    <t>Vizsgált szelvény helye   [km+m]</t>
  </si>
  <si>
    <t>Vizsgált csatorna hossz   L [m]</t>
  </si>
  <si>
    <t>Megfelel!</t>
  </si>
  <si>
    <t>Tervezett csatorna szelvény        [csőátmérő és anyag vagy mederméret és anyag]</t>
  </si>
  <si>
    <t>Mértékadó csapadék-hozam            Qm    [l/s]</t>
  </si>
  <si>
    <t>Tervezett csatorna max. vízsebesség      vmax   [m/s]</t>
  </si>
  <si>
    <t>Vízgyűjtő-területek összege A         [ha]</t>
  </si>
  <si>
    <t>Mértékadó csapadék intenzitás        i   [l/s,ha]</t>
  </si>
  <si>
    <t>Csapadék-hozam            Q    [l/s]</t>
  </si>
  <si>
    <t>B =</t>
  </si>
  <si>
    <t>R =</t>
  </si>
  <si>
    <t>Aw =</t>
  </si>
  <si>
    <t>I=</t>
  </si>
  <si>
    <t>Pw =</t>
  </si>
  <si>
    <t>α=</t>
  </si>
  <si>
    <t>ρ =</t>
  </si>
  <si>
    <t>α [rad]=</t>
  </si>
  <si>
    <t>d =</t>
  </si>
  <si>
    <t>C=</t>
  </si>
  <si>
    <t>átlagos esés</t>
  </si>
  <si>
    <t>n=</t>
  </si>
  <si>
    <t>L=</t>
  </si>
  <si>
    <t>lefolyási tényező</t>
  </si>
  <si>
    <t>Nedvesített keresztszelvény-terület [m2]</t>
  </si>
  <si>
    <t>Víztükör szélessége [m]</t>
  </si>
  <si>
    <t>Nedvesített keresztszelvény-kerülete [m]</t>
  </si>
  <si>
    <t>Hidraulikus sugár [m]</t>
  </si>
  <si>
    <t>Meder fenékszélessége [m]</t>
  </si>
  <si>
    <t>Vízmélység [m]</t>
  </si>
  <si>
    <t>szelvény középsebesség [m/s]</t>
  </si>
  <si>
    <t>sebességtényező</t>
  </si>
  <si>
    <t>érdességi tényező</t>
  </si>
  <si>
    <t>ip=</t>
  </si>
  <si>
    <t>Vizsgált árok jele</t>
  </si>
  <si>
    <t>f</t>
  </si>
  <si>
    <t>α</t>
  </si>
  <si>
    <t>ip</t>
  </si>
  <si>
    <t xml:space="preserve">d </t>
  </si>
  <si>
    <t xml:space="preserve">ρ </t>
  </si>
  <si>
    <t>L</t>
  </si>
  <si>
    <t xml:space="preserve">Aw </t>
  </si>
  <si>
    <t xml:space="preserve">B </t>
  </si>
  <si>
    <t xml:space="preserve">Pw </t>
  </si>
  <si>
    <t xml:space="preserve">R </t>
  </si>
  <si>
    <t>Asz</t>
  </si>
  <si>
    <t>Qv</t>
  </si>
  <si>
    <t>Vsz</t>
  </si>
  <si>
    <t>Vt</t>
  </si>
  <si>
    <t>Vk</t>
  </si>
  <si>
    <t>K</t>
  </si>
  <si>
    <t>vízgyűjtő terület mérete (ha)</t>
  </si>
  <si>
    <t>f=</t>
  </si>
  <si>
    <t>meder fenékszélessége (m)</t>
  </si>
  <si>
    <t>Vízmélység (m)</t>
  </si>
  <si>
    <t>szikkasztóárok hossza</t>
  </si>
  <si>
    <t>víztükör szélessége (m)</t>
  </si>
  <si>
    <t>nedvesített keresztszelvény-kerülete (m)</t>
  </si>
  <si>
    <t>hidraulikus sugár (m)</t>
  </si>
  <si>
    <t>Asz=</t>
  </si>
  <si>
    <t>Qv=</t>
  </si>
  <si>
    <t>Vsz=</t>
  </si>
  <si>
    <t>Vt=</t>
  </si>
  <si>
    <t>Vk=</t>
  </si>
  <si>
    <t>K=</t>
  </si>
  <si>
    <t>szikkasztóárok kihasználtsága (%)</t>
  </si>
  <si>
    <t>n</t>
  </si>
  <si>
    <t>"n" a meder Manning- féle érdességi tényezője</t>
  </si>
  <si>
    <t>vízszállítóképesség számításához</t>
  </si>
  <si>
    <t>Csatorna jellege, anyaga</t>
  </si>
  <si>
    <r>
      <t>"n" értékei       (sm</t>
    </r>
    <r>
      <rPr>
        <b/>
        <vertAlign val="superscript"/>
        <sz val="12"/>
        <rFont val="Times New Roman"/>
        <family val="1"/>
      </rPr>
      <t>-1/3</t>
    </r>
    <r>
      <rPr>
        <b/>
        <sz val="12"/>
        <rFont val="Times New Roman"/>
        <family val="1"/>
      </rPr>
      <t>)</t>
    </r>
  </si>
  <si>
    <t>Minimális</t>
  </si>
  <si>
    <t>Átlagos</t>
  </si>
  <si>
    <t>Maximális</t>
  </si>
  <si>
    <t>Ásott vagy kotort csatornák</t>
  </si>
  <si>
    <t xml:space="preserve">  A. Föld, egyenes és prizmatikus</t>
  </si>
  <si>
    <t xml:space="preserve">     1.Tiszta, újonnan ásott</t>
  </si>
  <si>
    <t>0,018</t>
  </si>
  <si>
    <t xml:space="preserve">     2.Tiszta, erodált</t>
  </si>
  <si>
    <t xml:space="preserve">     3.Kavics, tiszta, prizmatikus</t>
  </si>
  <si>
    <t xml:space="preserve">     4.Alacsony fűvel, gyér parti vegetáció</t>
  </si>
  <si>
    <t xml:space="preserve">  B. Föld, kanyargós és lerakódásos</t>
  </si>
  <si>
    <t xml:space="preserve">     1.Vegetáció nélküli</t>
  </si>
  <si>
    <t xml:space="preserve">     2.Fű, kevés parti vegetáció</t>
  </si>
  <si>
    <t xml:space="preserve">     3.Sűrű parti vegetáció</t>
  </si>
  <si>
    <t xml:space="preserve">     4.Földfenék, terméskő oldalak</t>
  </si>
  <si>
    <t xml:space="preserve">     5.Köves fenék és gyomos oldalak</t>
  </si>
  <si>
    <t xml:space="preserve">     6.Durva kavics-fenék és tiszta oldalak</t>
  </si>
  <si>
    <t xml:space="preserve">  C. Vonóköteles kotróval ásott vagy kotort</t>
  </si>
  <si>
    <t xml:space="preserve">     2.Ritka bokor az oldalakon</t>
  </si>
  <si>
    <t xml:space="preserve">  D. Szikla szelvény</t>
  </si>
  <si>
    <t xml:space="preserve">     1.Sima és prizmatikus</t>
  </si>
  <si>
    <t xml:space="preserve">     2.Egyenetlen és szabálytalan</t>
  </si>
  <si>
    <t xml:space="preserve">  E. Gondozatlan csatornák, parti vegetáció</t>
  </si>
  <si>
    <t xml:space="preserve">     1.Sűrű parti vegetáció, a vízmélységgel azonos magasságú</t>
  </si>
  <si>
    <t xml:space="preserve">     2.Tiszta fenék, bokor az oldalon</t>
  </si>
  <si>
    <t xml:space="preserve">     3.Sűrű bokor, nagy vízmélység</t>
  </si>
  <si>
    <t>Bélelt csatornák</t>
  </si>
  <si>
    <t xml:space="preserve">  A. Beton csatorna</t>
  </si>
  <si>
    <t xml:space="preserve">     1.Vakoló kanállal simítva</t>
  </si>
  <si>
    <t xml:space="preserve">     2.Simítóval kidolgozott</t>
  </si>
  <si>
    <t xml:space="preserve">     3.Kaviccsal befedve a fenéken</t>
  </si>
  <si>
    <t xml:space="preserve">     4.Nyers betonfelület</t>
  </si>
  <si>
    <t xml:space="preserve">     5.Torkrét beton, sima</t>
  </si>
  <si>
    <t xml:space="preserve">     6.Torkrét hulámos beton</t>
  </si>
  <si>
    <t xml:space="preserve">     7.Jól kivájt szikla</t>
  </si>
  <si>
    <t>--</t>
  </si>
  <si>
    <t xml:space="preserve">  B. Sima, beton  fenekű csatorna, melynek oldala:</t>
  </si>
  <si>
    <t xml:space="preserve">     1.Habarcsba rakott faragott kő</t>
  </si>
  <si>
    <t xml:space="preserve">     2.Kőhányás habarcsban</t>
  </si>
  <si>
    <t xml:space="preserve">     3.Vakolt terméskő falazat</t>
  </si>
  <si>
    <t xml:space="preserve">     4.Terméskő falazat cementhabarcsban</t>
  </si>
  <si>
    <t xml:space="preserve">     5.Szárazon rakott, ékelt kőburkolat</t>
  </si>
  <si>
    <t xml:space="preserve">  C. Nyersbeton fenekű csatorna, melynek oldala:</t>
  </si>
  <si>
    <t xml:space="preserve">     1.Zsaluzott beton</t>
  </si>
  <si>
    <t xml:space="preserve">     3.Szárazon rakott, ékelt kőburkolat</t>
  </si>
  <si>
    <t xml:space="preserve">  D. Tégla csatorna</t>
  </si>
  <si>
    <t xml:space="preserve">     1.Mázas, símított fal</t>
  </si>
  <si>
    <t xml:space="preserve">     2.Cementhabarcsba rakott fal</t>
  </si>
  <si>
    <t xml:space="preserve">  E. Terméskő csatorna</t>
  </si>
  <si>
    <t xml:space="preserve">     1.Cementtel fúgázott terméskő</t>
  </si>
  <si>
    <t xml:space="preserve">     2.Száraz terméskő</t>
  </si>
  <si>
    <t xml:space="preserve">  F. Faragott kő</t>
  </si>
  <si>
    <t xml:space="preserve">  G. Aszfalt (Bitumen) burkolatú csatorna</t>
  </si>
  <si>
    <t xml:space="preserve">     1.Sima</t>
  </si>
  <si>
    <t xml:space="preserve">     2.Érdes</t>
  </si>
  <si>
    <t xml:space="preserve">  H. Növénytakaró (gyep)</t>
  </si>
  <si>
    <t xml:space="preserve">"n" Manning-féle mederérdességi tényező meghatározása "vm" szelvényközépsebesség, az "R" hidraulikus sugár és "S" vízszintesés ismeretében </t>
  </si>
  <si>
    <r>
      <t>R</t>
    </r>
    <r>
      <rPr>
        <vertAlign val="superscript"/>
        <sz val="12"/>
        <rFont val="Times New Roman"/>
        <family val="1"/>
      </rPr>
      <t>2/3</t>
    </r>
    <r>
      <rPr>
        <sz val="12"/>
        <rFont val="Times New Roman"/>
        <family val="1"/>
      </rPr>
      <t xml:space="preserve"> x S</t>
    </r>
    <r>
      <rPr>
        <vertAlign val="superscript"/>
        <sz val="12"/>
        <rFont val="Times New Roman"/>
        <family val="1"/>
      </rPr>
      <t>1/2</t>
    </r>
  </si>
  <si>
    <r>
      <t>v</t>
    </r>
    <r>
      <rPr>
        <vertAlign val="subscript"/>
        <sz val="12"/>
        <rFont val="Times New Roman"/>
        <family val="1"/>
      </rPr>
      <t>m</t>
    </r>
  </si>
  <si>
    <r>
      <t>A "k" Stickler-féle simasági tényező meghatározása</t>
    </r>
    <r>
      <rPr>
        <sz val="12"/>
        <rFont val="Times New Roman"/>
        <family val="1"/>
      </rPr>
      <t xml:space="preserve"> "n" mederérdességi tényező ismeretében</t>
    </r>
  </si>
  <si>
    <t>k=</t>
  </si>
  <si>
    <t>Szabályos medrek szelvényjellemzői</t>
  </si>
  <si>
    <r>
      <t>A</t>
    </r>
    <r>
      <rPr>
        <sz val="8"/>
        <rFont val="Times New Roman"/>
        <family val="1"/>
      </rPr>
      <t>w</t>
    </r>
    <r>
      <rPr>
        <sz val="12"/>
        <rFont val="Times New Roman"/>
        <family val="1"/>
      </rPr>
      <t xml:space="preserve"> = Nedvesített keresztszelvény-terület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</si>
  <si>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B = Víztükör szélessége (m)</t>
  </si>
  <si>
    <r>
      <t>P</t>
    </r>
    <r>
      <rPr>
        <sz val="8"/>
        <rFont val="Times New Roman"/>
        <family val="1"/>
      </rPr>
      <t>w</t>
    </r>
    <r>
      <rPr>
        <sz val="12"/>
        <rFont val="Times New Roman"/>
        <family val="1"/>
      </rPr>
      <t xml:space="preserve"> = Nedvesített keresztszelvény-kerülete (m)</t>
    </r>
  </si>
  <si>
    <t>R = Hidraulikus sugár (m)</t>
  </si>
  <si>
    <r>
      <t>B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= Meder fenékszélessége (m)</t>
    </r>
  </si>
  <si>
    <t>r = rézsűhajlás cotangense</t>
  </si>
  <si>
    <t>d = Vízmélység (m)</t>
  </si>
  <si>
    <t>Szelvény típusa</t>
  </si>
  <si>
    <r>
      <t>A</t>
    </r>
    <r>
      <rPr>
        <sz val="8"/>
        <rFont val="Times New Roman"/>
        <family val="1"/>
      </rPr>
      <t>w</t>
    </r>
  </si>
  <si>
    <t>B</t>
  </si>
  <si>
    <r>
      <t>P</t>
    </r>
    <r>
      <rPr>
        <sz val="8"/>
        <rFont val="Times New Roman"/>
        <family val="1"/>
      </rPr>
      <t>w</t>
    </r>
  </si>
  <si>
    <t>R</t>
  </si>
  <si>
    <t>Trapéz</t>
  </si>
  <si>
    <r>
      <t>(B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+ r x d) x d</t>
    </r>
  </si>
  <si>
    <r>
      <t>B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+ 2 x r x d</t>
    </r>
  </si>
  <si>
    <r>
      <t>B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+ 2d x (r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+ 1)</t>
    </r>
    <r>
      <rPr>
        <vertAlign val="superscript"/>
        <sz val="12"/>
        <rFont val="Times New Roman"/>
        <family val="1"/>
      </rPr>
      <t>1/2</t>
    </r>
  </si>
  <si>
    <r>
      <t>A</t>
    </r>
    <r>
      <rPr>
        <sz val="8"/>
        <rFont val="Times New Roman"/>
        <family val="1"/>
      </rPr>
      <t>w</t>
    </r>
    <r>
      <rPr>
        <sz val="12"/>
        <rFont val="Times New Roman"/>
        <family val="1"/>
      </rPr>
      <t xml:space="preserve"> / P</t>
    </r>
    <r>
      <rPr>
        <sz val="8"/>
        <rFont val="Times New Roman"/>
        <family val="1"/>
      </rPr>
      <t>w</t>
    </r>
  </si>
  <si>
    <t>Háromszög</t>
  </si>
  <si>
    <r>
      <t>r x d</t>
    </r>
    <r>
      <rPr>
        <vertAlign val="superscript"/>
        <sz val="12"/>
        <rFont val="Times New Roman"/>
        <family val="1"/>
      </rPr>
      <t>2</t>
    </r>
  </si>
  <si>
    <t xml:space="preserve"> 2 x r x d</t>
  </si>
  <si>
    <r>
      <t xml:space="preserve"> 2d x (r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+ 1)</t>
    </r>
    <r>
      <rPr>
        <vertAlign val="superscript"/>
        <sz val="12"/>
        <rFont val="Times New Roman"/>
        <family val="1"/>
      </rPr>
      <t>1/2</t>
    </r>
  </si>
  <si>
    <r>
      <t>v</t>
    </r>
    <r>
      <rPr>
        <sz val="8"/>
        <rFont val="Times New Roman"/>
        <family val="1"/>
      </rPr>
      <t>m</t>
    </r>
    <r>
      <rPr>
        <sz val="12"/>
        <rFont val="Times New Roman"/>
        <family val="1"/>
      </rPr>
      <t xml:space="preserve"> = szabadfelszínű, permanens egyenletes vízmozgások középsebességének meghatározása /Chezy képlettel/: </t>
    </r>
  </si>
  <si>
    <r>
      <t>v</t>
    </r>
    <r>
      <rPr>
        <sz val="8"/>
        <rFont val="Times New Roman"/>
        <family val="1"/>
      </rPr>
      <t>m</t>
    </r>
    <r>
      <rPr>
        <sz val="12"/>
        <rFont val="Times New Roman"/>
        <family val="1"/>
      </rPr>
      <t xml:space="preserve"> = C x (R x S)</t>
    </r>
    <r>
      <rPr>
        <vertAlign val="superscript"/>
        <sz val="12"/>
        <rFont val="Times New Roman"/>
        <family val="1"/>
      </rPr>
      <t>1/2</t>
    </r>
  </si>
  <si>
    <t>Középsebesség másik meghatározása ("n"-ből):</t>
  </si>
  <si>
    <r>
      <t>v</t>
    </r>
    <r>
      <rPr>
        <sz val="8"/>
        <rFont val="Times New Roman"/>
        <family val="1"/>
      </rPr>
      <t>m</t>
    </r>
    <r>
      <rPr>
        <sz val="12"/>
        <rFont val="Times New Roman"/>
        <family val="1"/>
      </rPr>
      <t>=</t>
    </r>
  </si>
  <si>
    <r>
      <t>C =Chezy-féle sebességi tényező (m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s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</si>
  <si>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Tiszta négyzetes tartományban:</t>
  </si>
  <si>
    <t>C =</t>
  </si>
  <si>
    <r>
      <t>R</t>
    </r>
    <r>
      <rPr>
        <vertAlign val="superscript"/>
        <sz val="12"/>
        <rFont val="Times New Roman"/>
        <family val="1"/>
      </rPr>
      <t>1/6</t>
    </r>
  </si>
  <si>
    <r>
      <t xml:space="preserve">Simasági tényező  </t>
    </r>
    <r>
      <rPr>
        <b/>
        <sz val="11"/>
        <rFont val="Times New Roman"/>
        <family val="1"/>
      </rPr>
      <t>k=1/n</t>
    </r>
  </si>
  <si>
    <t xml:space="preserve">Hidrológiai-hidraulikai méretezés
</t>
  </si>
  <si>
    <r>
      <t>Trapéz szelvényű földmeder B</t>
    </r>
    <r>
      <rPr>
        <b/>
        <vertAlign val="subscript"/>
        <sz val="11"/>
        <rFont val="Times New Roman"/>
        <family val="1"/>
      </rPr>
      <t>0</t>
    </r>
    <r>
      <rPr>
        <b/>
        <sz val="11"/>
        <rFont val="Times New Roman"/>
        <family val="1"/>
      </rPr>
      <t>=0,40m ρ=1:1,5 h=0,50m</t>
    </r>
  </si>
  <si>
    <r>
      <t>B</t>
    </r>
    <r>
      <rPr>
        <b/>
        <vertAlign val="subscript"/>
        <sz val="11"/>
        <rFont val="Times New Roman"/>
        <family val="1"/>
      </rPr>
      <t>0</t>
    </r>
    <r>
      <rPr>
        <b/>
        <sz val="11"/>
        <rFont val="Times New Roman"/>
        <family val="1"/>
      </rPr>
      <t xml:space="preserve"> =</t>
    </r>
  </si>
  <si>
    <r>
      <t>A</t>
    </r>
    <r>
      <rPr>
        <b/>
        <vertAlign val="subscript"/>
        <sz val="11"/>
        <rFont val="Times New Roman"/>
        <family val="1"/>
      </rPr>
      <t>v=</t>
    </r>
  </si>
  <si>
    <r>
      <t>v</t>
    </r>
    <r>
      <rPr>
        <b/>
        <vertAlign val="subscript"/>
        <sz val="11"/>
        <rFont val="Times New Roman"/>
        <family val="1"/>
      </rPr>
      <t>k</t>
    </r>
    <r>
      <rPr>
        <b/>
        <sz val="11"/>
        <rFont val="Times New Roman"/>
        <family val="1"/>
      </rPr>
      <t>=</t>
    </r>
  </si>
  <si>
    <t>a p=4 év visszatérési idejű, 3 órás időtartamú csapadék intenzitása (l/s,ha)</t>
  </si>
  <si>
    <r>
      <t>A</t>
    </r>
    <r>
      <rPr>
        <b/>
        <vertAlign val="subscript"/>
        <sz val="11"/>
        <rFont val="Times New Roman"/>
        <family val="1"/>
      </rPr>
      <t>v</t>
    </r>
  </si>
  <si>
    <r>
      <t>B</t>
    </r>
    <r>
      <rPr>
        <b/>
        <vertAlign val="subscript"/>
        <sz val="11"/>
        <rFont val="Times New Roman"/>
        <family val="1"/>
      </rPr>
      <t>0</t>
    </r>
    <r>
      <rPr>
        <b/>
        <sz val="11"/>
        <rFont val="Times New Roman"/>
        <family val="1"/>
      </rPr>
      <t xml:space="preserve"> </t>
    </r>
  </si>
  <si>
    <r>
      <t>nedvesített keresztszelvény-terület 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</si>
  <si>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szikkasztóárok teljes felülete 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</si>
  <si>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3 órás időtartamú csapadékból származó vízhozam (m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</si>
  <si>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szikkasztóárok által 3 óra alatt elszikkasztott vízmennyiség (m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</si>
  <si>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szikkasztóárok által tárolandó minimális vízmennyiség (m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</si>
  <si>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szikkasztóárok tárolókapacitása (m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</si>
  <si>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Nyíltárok vízszállító képesség méretezése</t>
  </si>
  <si>
    <r>
      <t>Q</t>
    </r>
    <r>
      <rPr>
        <b/>
        <vertAlign val="subscript"/>
        <sz val="11"/>
        <rFont val="Times New Roman"/>
        <family val="1"/>
      </rPr>
      <t>max</t>
    </r>
    <r>
      <rPr>
        <b/>
        <sz val="11"/>
        <rFont val="Times New Roman"/>
        <family val="1"/>
      </rPr>
      <t>=</t>
    </r>
  </si>
  <si>
    <t>Qmax=</t>
  </si>
  <si>
    <t>maximális vízszállító képesség [l/s]</t>
  </si>
  <si>
    <t>mederrézsű hajlásszög</t>
  </si>
  <si>
    <t>rézsűhajlás (függőleges, vízszintes)</t>
  </si>
  <si>
    <t>I/40/40 könnyített mederburkoló elem</t>
  </si>
  <si>
    <t xml:space="preserve">Simasági tényező                     k </t>
  </si>
  <si>
    <t>SEGÉDLET (nem beadandó !!! )</t>
  </si>
  <si>
    <t>rézsűhajlás  (függőleges, vízszintes)</t>
  </si>
  <si>
    <t>Szikkasztóárok tározókapacitás méretezése</t>
  </si>
  <si>
    <t>adott talaj beszivárgási intenzitása (mm/h)</t>
  </si>
  <si>
    <t>Nyílt medrek jellemzői</t>
  </si>
  <si>
    <t>A MUNKALAPOK EGYES CELLÁI KÉPLETEZVE VANNAK, TEHÁT CSAK AZ ALAPADATOKAT KELL FELTÖLTENI!!!</t>
  </si>
  <si>
    <t>Kör keresztmetszetű gravitációs csatorna vízszállítása</t>
  </si>
  <si>
    <t>A különböző úsztatási mélységekhez tartozó vízhozamok és sebességek számítása</t>
  </si>
  <si>
    <t>permanens, egyenletes vízmozgás feltételezésével</t>
  </si>
  <si>
    <t>Alapadatok</t>
  </si>
  <si>
    <t>műanyag</t>
  </si>
  <si>
    <t>beton</t>
  </si>
  <si>
    <r>
      <t xml:space="preserve">D </t>
    </r>
    <r>
      <rPr>
        <vertAlign val="subscript"/>
        <sz val="11"/>
        <color indexed="8"/>
        <rFont val="Times New Roman CE"/>
        <family val="1"/>
      </rPr>
      <t>belső</t>
    </r>
    <r>
      <rPr>
        <sz val="11"/>
        <color indexed="8"/>
        <rFont val="Times New Roman CE"/>
        <family val="1"/>
      </rPr>
      <t xml:space="preserve"> =</t>
    </r>
  </si>
  <si>
    <t>[cm]</t>
  </si>
  <si>
    <t>r =</t>
  </si>
  <si>
    <t>[m]</t>
  </si>
  <si>
    <t>k =</t>
  </si>
  <si>
    <t>i =</t>
  </si>
  <si>
    <t>[m/m]</t>
  </si>
  <si>
    <t>[m/km]</t>
  </si>
  <si>
    <t>h  [cm]</t>
  </si>
  <si>
    <t>a</t>
  </si>
  <si>
    <r>
      <t>F [m</t>
    </r>
    <r>
      <rPr>
        <b/>
        <vertAlign val="superscript"/>
        <sz val="11"/>
        <color indexed="8"/>
        <rFont val="Times New Roman CE"/>
        <family val="0"/>
      </rPr>
      <t>2</t>
    </r>
    <r>
      <rPr>
        <b/>
        <sz val="11"/>
        <color indexed="8"/>
        <rFont val="Times New Roman CE"/>
        <family val="0"/>
      </rPr>
      <t>]</t>
    </r>
  </si>
  <si>
    <t>P [m]</t>
  </si>
  <si>
    <t>C</t>
  </si>
  <si>
    <t>v [m/s]</t>
  </si>
  <si>
    <r>
      <t>Q [m</t>
    </r>
    <r>
      <rPr>
        <b/>
        <vertAlign val="superscript"/>
        <sz val="11"/>
        <color indexed="8"/>
        <rFont val="Times New Roman CE"/>
        <family val="0"/>
      </rPr>
      <t>3</t>
    </r>
    <r>
      <rPr>
        <b/>
        <sz val="11"/>
        <color indexed="8"/>
        <rFont val="Times New Roman CE"/>
        <family val="1"/>
      </rPr>
      <t>/s]</t>
    </r>
  </si>
  <si>
    <t>Q [l/s]</t>
  </si>
  <si>
    <t>Számítási algoritmus</t>
  </si>
  <si>
    <t>Chezy:</t>
  </si>
  <si>
    <t>Vízhozam:</t>
  </si>
  <si>
    <t>v</t>
  </si>
  <si>
    <t>szelvényközépsebesség</t>
  </si>
  <si>
    <t>F</t>
  </si>
  <si>
    <t>a nedvesített szelvény területe</t>
  </si>
  <si>
    <t>Hidraulikus sugár:</t>
  </si>
  <si>
    <t>P</t>
  </si>
  <si>
    <t>a nedvesített szelvény kerülete</t>
  </si>
  <si>
    <t xml:space="preserve">i </t>
  </si>
  <si>
    <t>a csatorna lejtése</t>
  </si>
  <si>
    <t>Sebességi tényező:</t>
  </si>
  <si>
    <t>sebességi tényező</t>
  </si>
  <si>
    <t>(Strickler - Manning)</t>
  </si>
  <si>
    <t>k</t>
  </si>
  <si>
    <t>Manning-féle simasági tényező</t>
  </si>
  <si>
    <t>Forrás: Dr. Kozák Miklós, Hidraulikai példatár, Tankönyvkiadó, 1977, 67.o.</t>
  </si>
  <si>
    <t>Ide kell írni a munka megnevezését (ezt a munkalapot mindig be kell adni!!!)</t>
  </si>
  <si>
    <t>Ide kell írni a munka megnevezését (ezt a munkalapot akkor kell beadni, ha releváns!!!)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</si>
</sst>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"/>
    <numFmt numFmtId="168" formatCode="#&quot; &quot;?/10"/>
    <numFmt numFmtId="169" formatCode="0.000"/>
    <numFmt numFmtId="170" formatCode="0.00&quot; l/s&quot;"/>
    <numFmt numFmtId="171" formatCode="0&quot; mm/h&quot;"/>
    <numFmt numFmtId="172" formatCode="0.00&quot; m&quot;"/>
    <numFmt numFmtId="173" formatCode="0&quot; min&quot;"/>
    <numFmt numFmtId="174" formatCode="0.00&quot; m2&quot;"/>
    <numFmt numFmtId="175" formatCode="0.00&quot; ha&quot;"/>
    <numFmt numFmtId="176" formatCode="0&quot; l/s*ha&quot;"/>
    <numFmt numFmtId="177" formatCode="0.00&quot; m/s&quot;"/>
    <numFmt numFmtId="178" formatCode="0.0&quot; l/s*ha&quot;"/>
    <numFmt numFmtId="179" formatCode="0.00&quot; m3&quot;"/>
    <numFmt numFmtId="180" formatCode="0.00&quot; %&quot;"/>
    <numFmt numFmtId="181" formatCode="0.0&quot; %&quot;"/>
    <numFmt numFmtId="182" formatCode="0.00000"/>
    <numFmt numFmtId="183" formatCode="0.0000"/>
  </numFmts>
  <fonts count="1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GreekC"/>
      <family val="0"/>
    </font>
    <font>
      <b/>
      <sz val="10"/>
      <name val="Symbol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6"/>
      <name val="Arial CE"/>
      <family val="0"/>
    </font>
    <font>
      <b/>
      <sz val="12"/>
      <name val="Arial CE"/>
      <family val="0"/>
    </font>
    <font>
      <b/>
      <vertAlign val="subscript"/>
      <sz val="11"/>
      <name val="Times New Roman"/>
      <family val="1"/>
    </font>
    <font>
      <b/>
      <sz val="11"/>
      <color indexed="48"/>
      <name val="Times New Roman"/>
      <family val="1"/>
    </font>
    <font>
      <b/>
      <vertAlign val="superscript"/>
      <sz val="11"/>
      <name val="Times New Roman"/>
      <family val="1"/>
    </font>
    <font>
      <b/>
      <sz val="16"/>
      <name val="Times New Roman"/>
      <family val="1"/>
    </font>
    <font>
      <b/>
      <sz val="18"/>
      <name val="Arial CE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sz val="11"/>
      <name val="Arial"/>
      <family val="2"/>
    </font>
    <font>
      <b/>
      <sz val="12"/>
      <color indexed="10"/>
      <name val="Times New Roman CE"/>
      <family val="1"/>
    </font>
    <font>
      <b/>
      <sz val="11"/>
      <color indexed="10"/>
      <name val="Times New Roman CE"/>
      <family val="1"/>
    </font>
    <font>
      <b/>
      <sz val="11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Arial"/>
      <family val="2"/>
    </font>
    <font>
      <sz val="11"/>
      <color indexed="8"/>
      <name val="Times New Roman CE"/>
      <family val="1"/>
    </font>
    <font>
      <vertAlign val="subscript"/>
      <sz val="11"/>
      <color indexed="8"/>
      <name val="Times New Roman CE"/>
      <family val="1"/>
    </font>
    <font>
      <b/>
      <sz val="11"/>
      <color indexed="12"/>
      <name val="Times New Roman CE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Symbol"/>
      <family val="1"/>
    </font>
    <font>
      <b/>
      <vertAlign val="superscript"/>
      <sz val="11"/>
      <color indexed="8"/>
      <name val="Times New Roman CE"/>
      <family val="0"/>
    </font>
    <font>
      <b/>
      <sz val="11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Times New Roman CE"/>
      <family val="1"/>
    </font>
    <font>
      <b/>
      <sz val="9"/>
      <color indexed="10"/>
      <name val="Times New Roman CE"/>
      <family val="1"/>
    </font>
    <font>
      <sz val="8.75"/>
      <color indexed="8"/>
      <name val="Times New Roman"/>
      <family val="0"/>
    </font>
    <font>
      <b/>
      <sz val="8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6"/>
      <color indexed="10"/>
      <name val="Times New Roman CE"/>
      <family val="0"/>
    </font>
    <font>
      <b/>
      <sz val="10.5"/>
      <color indexed="8"/>
      <name val="Times New Roman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2"/>
      <color indexed="8"/>
      <name val="UniversalMath1 BT"/>
      <family val="0"/>
    </font>
    <font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CE"/>
      <family val="0"/>
    </font>
    <font>
      <b/>
      <sz val="18"/>
      <color rgb="FFFF0000"/>
      <name val="Arial CE"/>
      <family val="0"/>
    </font>
    <font>
      <b/>
      <sz val="14"/>
      <color rgb="FFFF0000"/>
      <name val="Times New Roman"/>
      <family val="1"/>
    </font>
    <font>
      <b/>
      <sz val="12"/>
      <color rgb="FFFF0000"/>
      <name val="Arial CE"/>
      <family val="0"/>
    </font>
    <font>
      <b/>
      <sz val="16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2" borderId="7" applyNumberFormat="0" applyFont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9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30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0" xfId="56" applyFont="1" applyBorder="1" applyAlignment="1">
      <alignment wrapText="1"/>
      <protection/>
    </xf>
    <xf numFmtId="0" fontId="11" fillId="0" borderId="10" xfId="56" applyFont="1" applyBorder="1" applyAlignment="1">
      <alignment horizontal="center" wrapText="1"/>
      <protection/>
    </xf>
    <xf numFmtId="169" fontId="11" fillId="0" borderId="10" xfId="56" applyNumberFormat="1" applyFont="1" applyBorder="1" applyAlignment="1">
      <alignment horizontal="center" wrapText="1"/>
      <protection/>
    </xf>
    <xf numFmtId="0" fontId="11" fillId="0" borderId="10" xfId="56" applyFont="1" applyBorder="1" applyAlignment="1">
      <alignment wrapText="1"/>
      <protection/>
    </xf>
    <xf numFmtId="0" fontId="11" fillId="0" borderId="10" xfId="56" applyFont="1" applyBorder="1" applyAlignment="1">
      <alignment vertical="top" wrapText="1"/>
      <protection/>
    </xf>
    <xf numFmtId="0" fontId="14" fillId="0" borderId="10" xfId="56" applyFont="1" applyBorder="1" applyAlignment="1">
      <alignment horizontal="center" wrapText="1"/>
      <protection/>
    </xf>
    <xf numFmtId="169" fontId="14" fillId="0" borderId="10" xfId="56" applyNumberFormat="1" applyFont="1" applyBorder="1" applyAlignment="1">
      <alignment horizontal="center" wrapText="1"/>
      <protection/>
    </xf>
    <xf numFmtId="0" fontId="14" fillId="0" borderId="10" xfId="56" applyFont="1" applyBorder="1" applyAlignment="1">
      <alignment wrapText="1"/>
      <protection/>
    </xf>
    <xf numFmtId="0" fontId="14" fillId="0" borderId="10" xfId="56" applyFont="1" applyBorder="1" applyAlignment="1">
      <alignment horizontal="center" wrapText="1"/>
      <protection/>
    </xf>
    <xf numFmtId="0" fontId="14" fillId="0" borderId="10" xfId="56" applyFont="1" applyBorder="1" applyAlignment="1">
      <alignment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 wrapText="1"/>
      <protection/>
    </xf>
    <xf numFmtId="169" fontId="14" fillId="0" borderId="10" xfId="56" applyNumberFormat="1" applyFont="1" applyBorder="1" applyAlignment="1">
      <alignment horizontal="center" wrapText="1"/>
      <protection/>
    </xf>
    <xf numFmtId="0" fontId="13" fillId="0" borderId="10" xfId="56" applyFont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15" xfId="0" applyFont="1" applyBorder="1" applyAlignment="1">
      <alignment horizontal="center" wrapText="1"/>
    </xf>
    <xf numFmtId="0" fontId="17" fillId="0" borderId="0" xfId="57" applyFont="1" applyFill="1" applyBorder="1" applyAlignment="1">
      <alignment horizontal="center"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16" fillId="0" borderId="0" xfId="57" applyBorder="1" applyAlignment="1">
      <alignment horizontal="center" vertical="center" wrapText="1"/>
      <protection/>
    </xf>
    <xf numFmtId="170" fontId="17" fillId="0" borderId="0" xfId="57" applyNumberFormat="1" applyFont="1" applyFill="1" applyBorder="1" applyAlignment="1">
      <alignment horizontal="center" vertical="center"/>
      <protection/>
    </xf>
    <xf numFmtId="0" fontId="16" fillId="0" borderId="0" xfId="57">
      <alignment/>
      <protection/>
    </xf>
    <xf numFmtId="0" fontId="16" fillId="0" borderId="0" xfId="57" applyBorder="1">
      <alignment/>
      <protection/>
    </xf>
    <xf numFmtId="0" fontId="17" fillId="0" borderId="0" xfId="57" applyFont="1">
      <alignment/>
      <protection/>
    </xf>
    <xf numFmtId="0" fontId="17" fillId="0" borderId="0" xfId="57" applyFont="1" applyBorder="1" applyAlignment="1">
      <alignment horizontal="right"/>
      <protection/>
    </xf>
    <xf numFmtId="171" fontId="16" fillId="0" borderId="0" xfId="57" applyNumberFormat="1" applyFill="1" applyBorder="1" applyAlignment="1">
      <alignment horizontal="left"/>
      <protection/>
    </xf>
    <xf numFmtId="0" fontId="17" fillId="0" borderId="0" xfId="57" applyFont="1" applyAlignment="1">
      <alignment horizontal="right"/>
      <protection/>
    </xf>
    <xf numFmtId="0" fontId="16" fillId="0" borderId="0" xfId="57" applyFill="1" applyBorder="1" applyAlignment="1">
      <alignment horizontal="left"/>
      <protection/>
    </xf>
    <xf numFmtId="173" fontId="16" fillId="0" borderId="0" xfId="57" applyNumberFormat="1" applyFill="1" applyBorder="1" applyAlignment="1">
      <alignment horizontal="left"/>
      <protection/>
    </xf>
    <xf numFmtId="0" fontId="17" fillId="0" borderId="0" xfId="57" applyFont="1" applyFill="1" applyBorder="1" applyAlignment="1">
      <alignment horizontal="right"/>
      <protection/>
    </xf>
    <xf numFmtId="173" fontId="17" fillId="0" borderId="0" xfId="57" applyNumberFormat="1" applyFont="1" applyFill="1" applyBorder="1" applyAlignment="1">
      <alignment horizontal="left"/>
      <protection/>
    </xf>
    <xf numFmtId="175" fontId="16" fillId="0" borderId="0" xfId="57" applyNumberFormat="1" applyFont="1" applyFill="1" applyBorder="1" applyAlignment="1">
      <alignment horizontal="left"/>
      <protection/>
    </xf>
    <xf numFmtId="176" fontId="17" fillId="0" borderId="0" xfId="57" applyNumberFormat="1" applyFont="1" applyFill="1" applyBorder="1" applyAlignment="1">
      <alignment horizontal="left"/>
      <protection/>
    </xf>
    <xf numFmtId="2" fontId="17" fillId="0" borderId="0" xfId="57" applyNumberFormat="1" applyFont="1" applyFill="1" applyBorder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0" fontId="16" fillId="0" borderId="0" xfId="57" applyFill="1" applyBorder="1">
      <alignment/>
      <protection/>
    </xf>
    <xf numFmtId="174" fontId="17" fillId="0" borderId="0" xfId="57" applyNumberFormat="1" applyFont="1" applyFill="1" applyBorder="1" applyAlignment="1">
      <alignment horizontal="left"/>
      <protection/>
    </xf>
    <xf numFmtId="172" fontId="17" fillId="0" borderId="0" xfId="57" applyNumberFormat="1" applyFont="1" applyFill="1" applyBorder="1" applyAlignment="1">
      <alignment horizontal="left"/>
      <protection/>
    </xf>
    <xf numFmtId="0" fontId="17" fillId="0" borderId="0" xfId="57" applyFont="1" applyFill="1" applyBorder="1">
      <alignment/>
      <protection/>
    </xf>
    <xf numFmtId="177" fontId="19" fillId="0" borderId="0" xfId="57" applyNumberFormat="1" applyFont="1" applyFill="1" applyBorder="1" applyAlignment="1">
      <alignment horizontal="left"/>
      <protection/>
    </xf>
    <xf numFmtId="0" fontId="16" fillId="0" borderId="10" xfId="57" applyBorder="1">
      <alignment/>
      <protection/>
    </xf>
    <xf numFmtId="0" fontId="16" fillId="0" borderId="0" xfId="57" applyFont="1">
      <alignment/>
      <protection/>
    </xf>
    <xf numFmtId="0" fontId="20" fillId="0" borderId="0" xfId="57" applyFont="1" applyAlignment="1">
      <alignment horizontal="center" wrapText="1"/>
      <protection/>
    </xf>
    <xf numFmtId="0" fontId="21" fillId="0" borderId="0" xfId="57" applyFont="1" applyBorder="1" applyAlignment="1">
      <alignment horizontal="center" wrapText="1"/>
      <protection/>
    </xf>
    <xf numFmtId="0" fontId="21" fillId="0" borderId="0" xfId="57" applyFont="1" applyAlignment="1">
      <alignment horizontal="right" vertical="center" wrapText="1"/>
      <protection/>
    </xf>
    <xf numFmtId="0" fontId="16" fillId="0" borderId="0" xfId="57" applyFont="1" applyAlignment="1">
      <alignment horizontal="left"/>
      <protection/>
    </xf>
    <xf numFmtId="0" fontId="20" fillId="0" borderId="22" xfId="57" applyFont="1" applyBorder="1" applyAlignment="1">
      <alignment horizontal="center"/>
      <protection/>
    </xf>
    <xf numFmtId="0" fontId="23" fillId="0" borderId="23" xfId="57" applyFont="1" applyBorder="1" applyAlignment="1">
      <alignment horizontal="left" vertical="center"/>
      <protection/>
    </xf>
    <xf numFmtId="0" fontId="21" fillId="0" borderId="23" xfId="57" applyFont="1" applyBorder="1" applyAlignment="1">
      <alignment horizontal="center"/>
      <protection/>
    </xf>
    <xf numFmtId="49" fontId="21" fillId="0" borderId="23" xfId="57" applyNumberFormat="1" applyFont="1" applyBorder="1" applyAlignment="1">
      <alignment horizontal="center"/>
      <protection/>
    </xf>
    <xf numFmtId="0" fontId="21" fillId="0" borderId="23" xfId="57" applyFont="1" applyBorder="1" applyAlignment="1">
      <alignment horizontal="left"/>
      <protection/>
    </xf>
    <xf numFmtId="0" fontId="25" fillId="0" borderId="10" xfId="57" applyFont="1" applyBorder="1" applyAlignment="1">
      <alignment horizontal="left" vertical="center"/>
      <protection/>
    </xf>
    <xf numFmtId="0" fontId="21" fillId="0" borderId="10" xfId="57" applyFont="1" applyBorder="1" applyAlignment="1">
      <alignment horizontal="center"/>
      <protection/>
    </xf>
    <xf numFmtId="49" fontId="21" fillId="0" borderId="10" xfId="57" applyNumberFormat="1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left" vertical="center"/>
      <protection/>
    </xf>
    <xf numFmtId="169" fontId="21" fillId="0" borderId="10" xfId="57" applyNumberFormat="1" applyFont="1" applyBorder="1" applyAlignment="1">
      <alignment horizontal="center"/>
      <protection/>
    </xf>
    <xf numFmtId="0" fontId="16" fillId="0" borderId="0" xfId="57" applyFont="1" applyAlignment="1">
      <alignment horizontal="left" wrapText="1"/>
      <protection/>
    </xf>
    <xf numFmtId="0" fontId="23" fillId="0" borderId="10" xfId="57" applyFont="1" applyBorder="1" applyAlignment="1">
      <alignment horizontal="left" vertical="center"/>
      <protection/>
    </xf>
    <xf numFmtId="169" fontId="21" fillId="0" borderId="10" xfId="57" applyNumberFormat="1" applyFont="1" applyFill="1" applyBorder="1" applyAlignment="1">
      <alignment horizontal="center"/>
      <protection/>
    </xf>
    <xf numFmtId="0" fontId="21" fillId="0" borderId="0" xfId="57" applyFont="1">
      <alignment/>
      <protection/>
    </xf>
    <xf numFmtId="0" fontId="21" fillId="0" borderId="24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1" fillId="0" borderId="25" xfId="57" applyFont="1" applyBorder="1" applyAlignment="1">
      <alignment horizontal="center"/>
      <protection/>
    </xf>
    <xf numFmtId="0" fontId="21" fillId="0" borderId="0" xfId="57" applyFont="1" applyBorder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center"/>
      <protection/>
    </xf>
    <xf numFmtId="0" fontId="21" fillId="0" borderId="26" xfId="57" applyFont="1" applyBorder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15" fillId="0" borderId="0" xfId="57" applyFont="1" applyFill="1" applyBorder="1" applyAlignment="1">
      <alignment horizontal="center" vertical="center"/>
      <protection/>
    </xf>
    <xf numFmtId="167" fontId="15" fillId="0" borderId="0" xfId="57" applyNumberFormat="1" applyFont="1" applyFill="1" applyBorder="1" applyAlignment="1">
      <alignment horizontal="center" vertical="center"/>
      <protection/>
    </xf>
    <xf numFmtId="0" fontId="15" fillId="0" borderId="0" xfId="57" applyNumberFormat="1" applyFont="1" applyFill="1" applyBorder="1" applyAlignment="1">
      <alignment horizontal="center" vertical="center"/>
      <protection/>
    </xf>
    <xf numFmtId="1" fontId="15" fillId="0" borderId="0" xfId="57" applyNumberFormat="1" applyFont="1" applyFill="1" applyBorder="1" applyAlignment="1">
      <alignment horizontal="center" vertical="center"/>
      <protection/>
    </xf>
    <xf numFmtId="2" fontId="15" fillId="0" borderId="0" xfId="57" applyNumberFormat="1" applyFont="1" applyFill="1" applyBorder="1" applyAlignment="1">
      <alignment horizontal="center" vertical="center"/>
      <protection/>
    </xf>
    <xf numFmtId="0" fontId="11" fillId="0" borderId="10" xfId="57" applyFont="1" applyBorder="1">
      <alignment/>
      <protection/>
    </xf>
    <xf numFmtId="0" fontId="15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/>
      <protection/>
    </xf>
    <xf numFmtId="0" fontId="15" fillId="0" borderId="10" xfId="57" applyFont="1" applyBorder="1" applyAlignment="1">
      <alignment horizontal="right"/>
      <protection/>
    </xf>
    <xf numFmtId="171" fontId="11" fillId="0" borderId="10" xfId="57" applyNumberFormat="1" applyFont="1" applyFill="1" applyBorder="1" applyAlignment="1">
      <alignment horizontal="left"/>
      <protection/>
    </xf>
    <xf numFmtId="172" fontId="15" fillId="33" borderId="10" xfId="57" applyNumberFormat="1" applyFont="1" applyFill="1" applyBorder="1" applyAlignment="1">
      <alignment horizontal="left"/>
      <protection/>
    </xf>
    <xf numFmtId="0" fontId="11" fillId="0" borderId="10" xfId="57" applyFont="1" applyFill="1" applyBorder="1" applyAlignment="1">
      <alignment horizontal="left"/>
      <protection/>
    </xf>
    <xf numFmtId="173" fontId="11" fillId="0" borderId="10" xfId="57" applyNumberFormat="1" applyFont="1" applyFill="1" applyBorder="1" applyAlignment="1">
      <alignment horizontal="left"/>
      <protection/>
    </xf>
    <xf numFmtId="174" fontId="15" fillId="33" borderId="10" xfId="57" applyNumberFormat="1" applyFont="1" applyFill="1" applyBorder="1" applyAlignment="1">
      <alignment horizontal="left"/>
      <protection/>
    </xf>
    <xf numFmtId="0" fontId="11" fillId="34" borderId="10" xfId="57" applyNumberFormat="1" applyFont="1" applyFill="1" applyBorder="1" applyAlignment="1">
      <alignment horizontal="left"/>
      <protection/>
    </xf>
    <xf numFmtId="172" fontId="11" fillId="34" borderId="10" xfId="57" applyNumberFormat="1" applyFont="1" applyFill="1" applyBorder="1" applyAlignment="1">
      <alignment horizontal="left"/>
      <protection/>
    </xf>
    <xf numFmtId="0" fontId="15" fillId="0" borderId="10" xfId="57" applyFont="1" applyFill="1" applyBorder="1" applyAlignment="1">
      <alignment horizontal="right"/>
      <protection/>
    </xf>
    <xf numFmtId="2" fontId="15" fillId="33" borderId="10" xfId="57" applyNumberFormat="1" applyFont="1" applyFill="1" applyBorder="1" applyAlignment="1">
      <alignment horizontal="left"/>
      <protection/>
    </xf>
    <xf numFmtId="0" fontId="11" fillId="34" borderId="10" xfId="57" applyFont="1" applyFill="1" applyBorder="1" applyAlignment="1">
      <alignment horizontal="left"/>
      <protection/>
    </xf>
    <xf numFmtId="0" fontId="15" fillId="33" borderId="10" xfId="57" applyFont="1" applyFill="1" applyBorder="1" applyAlignment="1">
      <alignment horizontal="left"/>
      <protection/>
    </xf>
    <xf numFmtId="0" fontId="15" fillId="0" borderId="10" xfId="57" applyFont="1" applyBorder="1" applyAlignment="1">
      <alignment horizontal="left"/>
      <protection/>
    </xf>
    <xf numFmtId="170" fontId="15" fillId="0" borderId="10" xfId="57" applyNumberFormat="1" applyFont="1" applyFill="1" applyBorder="1" applyAlignment="1">
      <alignment horizontal="left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21" xfId="57" applyFont="1" applyBorder="1" applyAlignment="1">
      <alignment horizontal="center"/>
      <protection/>
    </xf>
    <xf numFmtId="0" fontId="15" fillId="34" borderId="27" xfId="57" applyFont="1" applyFill="1" applyBorder="1" applyAlignment="1">
      <alignment horizontal="center"/>
      <protection/>
    </xf>
    <xf numFmtId="0" fontId="15" fillId="34" borderId="20" xfId="57" applyFont="1" applyFill="1" applyBorder="1" applyAlignment="1">
      <alignment horizontal="center"/>
      <protection/>
    </xf>
    <xf numFmtId="0" fontId="15" fillId="34" borderId="21" xfId="57" applyFont="1" applyFill="1" applyBorder="1" applyAlignment="1">
      <alignment horizontal="center"/>
      <protection/>
    </xf>
    <xf numFmtId="0" fontId="15" fillId="33" borderId="19" xfId="57" applyFont="1" applyFill="1" applyBorder="1" applyAlignment="1">
      <alignment horizontal="center"/>
      <protection/>
    </xf>
    <xf numFmtId="0" fontId="15" fillId="33" borderId="20" xfId="57" applyFont="1" applyFill="1" applyBorder="1" applyAlignment="1">
      <alignment horizontal="center"/>
      <protection/>
    </xf>
    <xf numFmtId="0" fontId="15" fillId="33" borderId="28" xfId="57" applyFont="1" applyFill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75" fontId="11" fillId="0" borderId="10" xfId="57" applyNumberFormat="1" applyFont="1" applyFill="1" applyBorder="1" applyAlignment="1">
      <alignment horizontal="center"/>
      <protection/>
    </xf>
    <xf numFmtId="171" fontId="11" fillId="0" borderId="10" xfId="57" applyNumberFormat="1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/>
      <protection/>
    </xf>
    <xf numFmtId="178" fontId="11" fillId="0" borderId="10" xfId="57" applyNumberFormat="1" applyFont="1" applyFill="1" applyBorder="1" applyAlignment="1">
      <alignment horizontal="center"/>
      <protection/>
    </xf>
    <xf numFmtId="172" fontId="11" fillId="0" borderId="10" xfId="57" applyNumberFormat="1" applyFont="1" applyFill="1" applyBorder="1" applyAlignment="1">
      <alignment horizontal="center"/>
      <protection/>
    </xf>
    <xf numFmtId="172" fontId="11" fillId="0" borderId="29" xfId="57" applyNumberFormat="1" applyFont="1" applyFill="1" applyBorder="1" applyAlignment="1">
      <alignment horizontal="center"/>
      <protection/>
    </xf>
    <xf numFmtId="174" fontId="15" fillId="0" borderId="30" xfId="57" applyNumberFormat="1" applyFont="1" applyBorder="1" applyAlignment="1">
      <alignment horizontal="center"/>
      <protection/>
    </xf>
    <xf numFmtId="172" fontId="15" fillId="0" borderId="11" xfId="57" applyNumberFormat="1" applyFont="1" applyBorder="1" applyAlignment="1">
      <alignment horizontal="center"/>
      <protection/>
    </xf>
    <xf numFmtId="172" fontId="15" fillId="0" borderId="0" xfId="57" applyNumberFormat="1" applyFont="1" applyAlignment="1">
      <alignment horizontal="center"/>
      <protection/>
    </xf>
    <xf numFmtId="174" fontId="15" fillId="0" borderId="11" xfId="57" applyNumberFormat="1" applyFont="1" applyBorder="1" applyAlignment="1">
      <alignment horizontal="center"/>
      <protection/>
    </xf>
    <xf numFmtId="179" fontId="15" fillId="0" borderId="11" xfId="57" applyNumberFormat="1" applyFont="1" applyBorder="1" applyAlignment="1">
      <alignment horizontal="center"/>
      <protection/>
    </xf>
    <xf numFmtId="179" fontId="15" fillId="0" borderId="11" xfId="57" applyNumberFormat="1" applyFont="1" applyFill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11" fillId="0" borderId="13" xfId="57" applyFont="1" applyBorder="1" applyAlignment="1">
      <alignment horizontal="center"/>
      <protection/>
    </xf>
    <xf numFmtId="172" fontId="11" fillId="0" borderId="13" xfId="57" applyNumberFormat="1" applyFont="1" applyFill="1" applyBorder="1" applyAlignment="1">
      <alignment horizontal="center"/>
      <protection/>
    </xf>
    <xf numFmtId="174" fontId="15" fillId="0" borderId="31" xfId="57" applyNumberFormat="1" applyFont="1" applyBorder="1" applyAlignment="1">
      <alignment horizontal="center"/>
      <protection/>
    </xf>
    <xf numFmtId="172" fontId="15" fillId="0" borderId="10" xfId="57" applyNumberFormat="1" applyFont="1" applyBorder="1" applyAlignment="1">
      <alignment horizontal="center"/>
      <protection/>
    </xf>
    <xf numFmtId="0" fontId="31" fillId="0" borderId="13" xfId="57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>
      <alignment/>
      <protection/>
    </xf>
    <xf numFmtId="0" fontId="15" fillId="0" borderId="0" xfId="57" applyFont="1" applyFill="1" applyBorder="1" applyAlignment="1">
      <alignment horizontal="right"/>
      <protection/>
    </xf>
    <xf numFmtId="175" fontId="11" fillId="0" borderId="0" xfId="57" applyNumberFormat="1" applyFont="1" applyFill="1" applyBorder="1" applyAlignment="1">
      <alignment horizontal="left"/>
      <protection/>
    </xf>
    <xf numFmtId="0" fontId="11" fillId="0" borderId="0" xfId="57" applyFont="1" applyFill="1" applyBorder="1">
      <alignment/>
      <protection/>
    </xf>
    <xf numFmtId="174" fontId="15" fillId="0" borderId="0" xfId="57" applyNumberFormat="1" applyFont="1" applyFill="1" applyBorder="1" applyAlignment="1">
      <alignment horizontal="left"/>
      <protection/>
    </xf>
    <xf numFmtId="0" fontId="15" fillId="0" borderId="0" xfId="57" applyFont="1" applyAlignment="1">
      <alignment horizontal="left"/>
      <protection/>
    </xf>
    <xf numFmtId="171" fontId="11" fillId="0" borderId="0" xfId="57" applyNumberFormat="1" applyFont="1" applyFill="1" applyBorder="1" applyAlignment="1">
      <alignment horizontal="left"/>
      <protection/>
    </xf>
    <xf numFmtId="172" fontId="15" fillId="0" borderId="0" xfId="57" applyNumberFormat="1" applyFont="1" applyFill="1" applyBorder="1" applyAlignment="1">
      <alignment horizontal="left"/>
      <protection/>
    </xf>
    <xf numFmtId="0" fontId="15" fillId="0" borderId="0" xfId="57" applyFont="1" applyBorder="1" applyAlignment="1">
      <alignment horizontal="right"/>
      <protection/>
    </xf>
    <xf numFmtId="0" fontId="15" fillId="0" borderId="0" xfId="57" applyFont="1" applyBorder="1" applyAlignment="1">
      <alignment horizontal="left"/>
      <protection/>
    </xf>
    <xf numFmtId="0" fontId="11" fillId="0" borderId="0" xfId="57" applyFont="1" applyFill="1" applyBorder="1" applyAlignment="1">
      <alignment horizontal="left"/>
      <protection/>
    </xf>
    <xf numFmtId="178" fontId="11" fillId="0" borderId="0" xfId="57" applyNumberFormat="1" applyFont="1" applyFill="1" applyBorder="1" applyAlignment="1">
      <alignment horizontal="left"/>
      <protection/>
    </xf>
    <xf numFmtId="172" fontId="11" fillId="0" borderId="0" xfId="57" applyNumberFormat="1" applyFont="1" applyFill="1" applyBorder="1" applyAlignment="1">
      <alignment horizontal="left"/>
      <protection/>
    </xf>
    <xf numFmtId="179" fontId="15" fillId="0" borderId="0" xfId="57" applyNumberFormat="1" applyFont="1" applyFill="1" applyBorder="1" applyAlignment="1">
      <alignment horizontal="left"/>
      <protection/>
    </xf>
    <xf numFmtId="0" fontId="31" fillId="0" borderId="0" xfId="57" applyFont="1" applyFill="1" applyBorder="1" applyAlignment="1">
      <alignment horizontal="right"/>
      <protection/>
    </xf>
    <xf numFmtId="0" fontId="31" fillId="0" borderId="0" xfId="57" applyFont="1" applyFill="1" applyBorder="1">
      <alignment/>
      <protection/>
    </xf>
    <xf numFmtId="180" fontId="15" fillId="0" borderId="0" xfId="57" applyNumberFormat="1" applyFont="1" applyFill="1" applyBorder="1" applyAlignment="1">
      <alignment horizontal="left"/>
      <protection/>
    </xf>
    <xf numFmtId="0" fontId="15" fillId="0" borderId="0" xfId="57" applyFont="1" applyFill="1" applyBorder="1" applyAlignment="1">
      <alignment horizontal="left"/>
      <protection/>
    </xf>
    <xf numFmtId="0" fontId="15" fillId="0" borderId="0" xfId="57" applyFont="1" applyFill="1" applyBorder="1">
      <alignment/>
      <protection/>
    </xf>
    <xf numFmtId="167" fontId="11" fillId="0" borderId="10" xfId="57" applyNumberFormat="1" applyFont="1" applyFill="1" applyBorder="1" applyAlignment="1">
      <alignment horizontal="center"/>
      <protection/>
    </xf>
    <xf numFmtId="170" fontId="15" fillId="35" borderId="10" xfId="57" applyNumberFormat="1" applyFont="1" applyFill="1" applyBorder="1" applyAlignment="1">
      <alignment horizontal="left"/>
      <protection/>
    </xf>
    <xf numFmtId="177" fontId="15" fillId="35" borderId="10" xfId="57" applyNumberFormat="1" applyFont="1" applyFill="1" applyBorder="1" applyAlignment="1">
      <alignment horizontal="left"/>
      <protection/>
    </xf>
    <xf numFmtId="181" fontId="15" fillId="35" borderId="11" xfId="57" applyNumberFormat="1" applyFont="1" applyFill="1" applyBorder="1" applyAlignment="1">
      <alignment horizontal="center"/>
      <protection/>
    </xf>
    <xf numFmtId="0" fontId="37" fillId="0" borderId="0" xfId="57" applyFont="1" applyAlignment="1" applyProtection="1">
      <alignment/>
      <protection hidden="1"/>
    </xf>
    <xf numFmtId="0" fontId="38" fillId="0" borderId="0" xfId="57" applyFont="1" applyAlignment="1" applyProtection="1">
      <alignment horizontal="center"/>
      <protection hidden="1"/>
    </xf>
    <xf numFmtId="0" fontId="16" fillId="0" borderId="0" xfId="57" applyAlignment="1" applyProtection="1">
      <alignment/>
      <protection hidden="1"/>
    </xf>
    <xf numFmtId="0" fontId="39" fillId="0" borderId="0" xfId="57" applyFont="1" applyAlignment="1" applyProtection="1">
      <alignment horizontal="center"/>
      <protection hidden="1"/>
    </xf>
    <xf numFmtId="0" fontId="41" fillId="0" borderId="0" xfId="57" applyFont="1" applyProtection="1">
      <alignment/>
      <protection hidden="1"/>
    </xf>
    <xf numFmtId="0" fontId="42" fillId="0" borderId="0" xfId="57" applyFont="1" applyAlignment="1" applyProtection="1">
      <alignment/>
      <protection hidden="1"/>
    </xf>
    <xf numFmtId="0" fontId="43" fillId="0" borderId="0" xfId="57" applyFont="1" applyBorder="1" applyAlignment="1" applyProtection="1">
      <alignment horizontal="right"/>
      <protection hidden="1"/>
    </xf>
    <xf numFmtId="0" fontId="45" fillId="0" borderId="0" xfId="57" applyFont="1" applyBorder="1" applyProtection="1">
      <alignment/>
      <protection hidden="1" locked="0"/>
    </xf>
    <xf numFmtId="0" fontId="43" fillId="0" borderId="0" xfId="57" applyFont="1" applyBorder="1" applyAlignment="1" applyProtection="1">
      <alignment horizontal="left"/>
      <protection hidden="1"/>
    </xf>
    <xf numFmtId="0" fontId="46" fillId="0" borderId="0" xfId="57" applyFont="1" applyAlignment="1" applyProtection="1">
      <alignment horizontal="right"/>
      <protection hidden="1"/>
    </xf>
    <xf numFmtId="0" fontId="47" fillId="0" borderId="0" xfId="57" applyFont="1" applyAlignment="1" applyProtection="1">
      <alignment/>
      <protection hidden="1"/>
    </xf>
    <xf numFmtId="0" fontId="48" fillId="0" borderId="0" xfId="57" applyFont="1" applyBorder="1" applyAlignment="1" applyProtection="1">
      <alignment horizontal="left"/>
      <protection hidden="1"/>
    </xf>
    <xf numFmtId="0" fontId="41" fillId="0" borderId="0" xfId="57" applyFont="1" applyBorder="1" applyAlignment="1" applyProtection="1">
      <alignment horizontal="center"/>
      <protection hidden="1"/>
    </xf>
    <xf numFmtId="16" fontId="46" fillId="0" borderId="0" xfId="57" applyNumberFormat="1" applyFont="1" applyAlignment="1" applyProtection="1">
      <alignment horizontal="right"/>
      <protection hidden="1"/>
    </xf>
    <xf numFmtId="0" fontId="46" fillId="0" borderId="0" xfId="57" applyFont="1" applyAlignment="1" applyProtection="1">
      <alignment/>
      <protection hidden="1"/>
    </xf>
    <xf numFmtId="0" fontId="41" fillId="0" borderId="0" xfId="57" applyFont="1" applyBorder="1" applyProtection="1">
      <alignment/>
      <protection hidden="1"/>
    </xf>
    <xf numFmtId="0" fontId="43" fillId="0" borderId="0" xfId="57" applyFont="1" applyBorder="1" applyProtection="1">
      <alignment/>
      <protection hidden="1"/>
    </xf>
    <xf numFmtId="0" fontId="49" fillId="0" borderId="0" xfId="57" applyFont="1" applyBorder="1" applyAlignment="1" applyProtection="1">
      <alignment horizontal="right"/>
      <protection hidden="1"/>
    </xf>
    <xf numFmtId="0" fontId="49" fillId="0" borderId="0" xfId="57" applyFont="1" applyBorder="1" applyProtection="1">
      <alignment/>
      <protection hidden="1"/>
    </xf>
    <xf numFmtId="0" fontId="41" fillId="0" borderId="10" xfId="57" applyFont="1" applyBorder="1" applyAlignment="1" applyProtection="1">
      <alignment horizontal="center"/>
      <protection hidden="1"/>
    </xf>
    <xf numFmtId="0" fontId="50" fillId="0" borderId="32" xfId="57" applyFont="1" applyBorder="1" applyAlignment="1" applyProtection="1">
      <alignment horizontal="center"/>
      <protection hidden="1"/>
    </xf>
    <xf numFmtId="0" fontId="41" fillId="0" borderId="32" xfId="57" applyFont="1" applyBorder="1" applyAlignment="1" applyProtection="1">
      <alignment horizontal="center"/>
      <protection hidden="1"/>
    </xf>
    <xf numFmtId="2" fontId="41" fillId="0" borderId="32" xfId="57" applyNumberFormat="1" applyFont="1" applyBorder="1" applyAlignment="1" applyProtection="1">
      <alignment horizontal="center"/>
      <protection hidden="1"/>
    </xf>
    <xf numFmtId="2" fontId="41" fillId="0" borderId="10" xfId="57" applyNumberFormat="1" applyFont="1" applyBorder="1" applyAlignment="1" applyProtection="1">
      <alignment horizontal="center"/>
      <protection hidden="1"/>
    </xf>
    <xf numFmtId="1" fontId="41" fillId="0" borderId="10" xfId="57" applyNumberFormat="1" applyFont="1" applyBorder="1" applyProtection="1">
      <alignment/>
      <protection hidden="1"/>
    </xf>
    <xf numFmtId="167" fontId="45" fillId="0" borderId="10" xfId="57" applyNumberFormat="1" applyFont="1" applyBorder="1" applyProtection="1">
      <alignment/>
      <protection hidden="1"/>
    </xf>
    <xf numFmtId="2" fontId="48" fillId="0" borderId="10" xfId="57" applyNumberFormat="1" applyFont="1" applyBorder="1" applyAlignment="1" applyProtection="1">
      <alignment horizontal="center"/>
      <protection hidden="1"/>
    </xf>
    <xf numFmtId="182" fontId="48" fillId="0" borderId="10" xfId="57" applyNumberFormat="1" applyFont="1" applyBorder="1" applyAlignment="1" applyProtection="1">
      <alignment horizontal="center"/>
      <protection hidden="1"/>
    </xf>
    <xf numFmtId="182" fontId="48" fillId="0" borderId="10" xfId="57" applyNumberFormat="1" applyFont="1" applyBorder="1" applyProtection="1">
      <alignment/>
      <protection hidden="1"/>
    </xf>
    <xf numFmtId="2" fontId="45" fillId="0" borderId="10" xfId="57" applyNumberFormat="1" applyFont="1" applyBorder="1" applyAlignment="1" applyProtection="1">
      <alignment horizontal="center"/>
      <protection hidden="1"/>
    </xf>
    <xf numFmtId="169" fontId="48" fillId="0" borderId="10" xfId="57" applyNumberFormat="1" applyFont="1" applyBorder="1" applyAlignment="1" applyProtection="1">
      <alignment horizontal="center"/>
      <protection hidden="1"/>
    </xf>
    <xf numFmtId="183" fontId="45" fillId="0" borderId="10" xfId="57" applyNumberFormat="1" applyFont="1" applyBorder="1" applyAlignment="1" applyProtection="1">
      <alignment horizontal="center"/>
      <protection hidden="1"/>
    </xf>
    <xf numFmtId="167" fontId="47" fillId="0" borderId="10" xfId="57" applyNumberFormat="1" applyFont="1" applyBorder="1">
      <alignment/>
      <protection/>
    </xf>
    <xf numFmtId="0" fontId="39" fillId="0" borderId="33" xfId="57" applyFont="1" applyBorder="1" applyProtection="1">
      <alignment/>
      <protection hidden="1"/>
    </xf>
    <xf numFmtId="0" fontId="53" fillId="0" borderId="0" xfId="57" applyFont="1" applyProtection="1">
      <alignment/>
      <protection hidden="1"/>
    </xf>
    <xf numFmtId="0" fontId="53" fillId="0" borderId="0" xfId="57" applyFont="1" applyBorder="1" applyProtection="1">
      <alignment/>
      <protection hidden="1"/>
    </xf>
    <xf numFmtId="2" fontId="39" fillId="0" borderId="0" xfId="57" applyNumberFormat="1" applyFont="1" applyBorder="1" applyProtection="1">
      <alignment/>
      <protection hidden="1"/>
    </xf>
    <xf numFmtId="0" fontId="53" fillId="0" borderId="34" xfId="57" applyFont="1" applyBorder="1" applyProtection="1">
      <alignment/>
      <protection hidden="1"/>
    </xf>
    <xf numFmtId="0" fontId="54" fillId="0" borderId="0" xfId="57" applyFont="1" applyProtection="1">
      <alignment/>
      <protection hidden="1"/>
    </xf>
    <xf numFmtId="0" fontId="53" fillId="0" borderId="0" xfId="57" applyFont="1" applyBorder="1" applyAlignment="1" applyProtection="1">
      <alignment horizontal="center"/>
      <protection hidden="1"/>
    </xf>
    <xf numFmtId="0" fontId="54" fillId="0" borderId="0" xfId="57" applyFont="1" applyAlignment="1" applyProtection="1">
      <alignment horizontal="center"/>
      <protection hidden="1"/>
    </xf>
    <xf numFmtId="0" fontId="55" fillId="0" borderId="35" xfId="57" applyFont="1" applyBorder="1" applyProtection="1">
      <alignment/>
      <protection hidden="1"/>
    </xf>
    <xf numFmtId="0" fontId="53" fillId="0" borderId="24" xfId="57" applyFont="1" applyBorder="1" applyProtection="1">
      <alignment/>
      <protection hidden="1"/>
    </xf>
    <xf numFmtId="2" fontId="39" fillId="0" borderId="24" xfId="57" applyNumberFormat="1" applyFont="1" applyBorder="1" applyProtection="1">
      <alignment/>
      <protection hidden="1"/>
    </xf>
    <xf numFmtId="0" fontId="53" fillId="0" borderId="30" xfId="57" applyFont="1" applyBorder="1" applyProtection="1">
      <alignment/>
      <protection hidden="1"/>
    </xf>
    <xf numFmtId="0" fontId="7" fillId="0" borderId="0" xfId="57" applyFont="1">
      <alignment/>
      <protection/>
    </xf>
    <xf numFmtId="0" fontId="103" fillId="0" borderId="0" xfId="57" applyFont="1">
      <alignment/>
      <protection/>
    </xf>
    <xf numFmtId="0" fontId="104" fillId="0" borderId="0" xfId="57" applyFont="1" applyAlignment="1">
      <alignment horizontal="center"/>
      <protection/>
    </xf>
    <xf numFmtId="0" fontId="103" fillId="0" borderId="0" xfId="57" applyFont="1" applyAlignment="1">
      <alignment horizontal="right"/>
      <protection/>
    </xf>
    <xf numFmtId="0" fontId="103" fillId="0" borderId="0" xfId="57" applyFont="1" applyAlignment="1">
      <alignment horizontal="center"/>
      <protection/>
    </xf>
    <xf numFmtId="0" fontId="34" fillId="0" borderId="0" xfId="0" applyFont="1" applyAlignment="1">
      <alignment horizontal="center" vertical="center"/>
    </xf>
    <xf numFmtId="0" fontId="105" fillId="36" borderId="0" xfId="0" applyFont="1" applyFill="1" applyAlignment="1">
      <alignment horizontal="center" vertical="center"/>
    </xf>
    <xf numFmtId="0" fontId="106" fillId="36" borderId="0" xfId="0" applyFont="1" applyFill="1" applyAlignment="1">
      <alignment horizontal="center" vertical="center"/>
    </xf>
    <xf numFmtId="0" fontId="15" fillId="34" borderId="36" xfId="57" applyNumberFormat="1" applyFont="1" applyFill="1" applyBorder="1" applyAlignment="1">
      <alignment horizontal="center" vertical="center" wrapText="1"/>
      <protection/>
    </xf>
    <xf numFmtId="0" fontId="11" fillId="0" borderId="27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horizontal="center" vertical="center"/>
      <protection/>
    </xf>
    <xf numFmtId="0" fontId="107" fillId="36" borderId="0" xfId="57" applyFont="1" applyFill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08" fillId="36" borderId="0" xfId="0" applyFont="1" applyFill="1" applyAlignment="1">
      <alignment horizontal="center" vertical="center"/>
    </xf>
    <xf numFmtId="0" fontId="35" fillId="37" borderId="10" xfId="57" applyFont="1" applyFill="1" applyBorder="1" applyAlignment="1" applyProtection="1">
      <alignment horizontal="center"/>
      <protection hidden="1"/>
    </xf>
    <xf numFmtId="0" fontId="16" fillId="37" borderId="10" xfId="57" applyFill="1" applyBorder="1" applyAlignment="1" applyProtection="1">
      <alignment/>
      <protection hidden="1"/>
    </xf>
    <xf numFmtId="0" fontId="36" fillId="0" borderId="0" xfId="57" applyFont="1" applyAlignment="1" applyProtection="1">
      <alignment horizontal="center"/>
      <protection hidden="1"/>
    </xf>
    <xf numFmtId="0" fontId="37" fillId="0" borderId="0" xfId="57" applyFont="1" applyAlignment="1" applyProtection="1">
      <alignment/>
      <protection hidden="1"/>
    </xf>
    <xf numFmtId="0" fontId="40" fillId="0" borderId="0" xfId="57" applyFont="1" applyBorder="1" applyAlignment="1" applyProtection="1">
      <alignment horizontal="center"/>
      <protection hidden="1"/>
    </xf>
    <xf numFmtId="0" fontId="37" fillId="0" borderId="0" xfId="57" applyFont="1" applyAlignment="1" applyProtection="1">
      <alignment horizontal="center"/>
      <protection hidden="1"/>
    </xf>
    <xf numFmtId="0" fontId="39" fillId="0" borderId="37" xfId="57" applyFont="1" applyBorder="1" applyAlignment="1" applyProtection="1">
      <alignment horizontal="center"/>
      <protection hidden="1"/>
    </xf>
    <xf numFmtId="0" fontId="52" fillId="0" borderId="25" xfId="57" applyFont="1" applyBorder="1" applyAlignment="1" applyProtection="1">
      <alignment horizontal="center"/>
      <protection hidden="1"/>
    </xf>
    <xf numFmtId="0" fontId="52" fillId="0" borderId="38" xfId="57" applyFont="1" applyBorder="1" applyAlignment="1" applyProtection="1">
      <alignment horizontal="center"/>
      <protection hidden="1"/>
    </xf>
    <xf numFmtId="0" fontId="109" fillId="36" borderId="0" xfId="57" applyFont="1" applyFill="1" applyAlignment="1" applyProtection="1">
      <alignment horizontal="center" vertical="center"/>
      <protection hidden="1"/>
    </xf>
    <xf numFmtId="0" fontId="15" fillId="36" borderId="0" xfId="56" applyFont="1" applyFill="1" applyBorder="1" applyAlignment="1">
      <alignment horizontal="center" wrapText="1"/>
      <protection/>
    </xf>
    <xf numFmtId="0" fontId="11" fillId="36" borderId="0" xfId="56" applyFont="1" applyFill="1" applyBorder="1" applyAlignment="1">
      <alignment horizontal="center" wrapText="1"/>
      <protection/>
    </xf>
    <xf numFmtId="0" fontId="12" fillId="0" borderId="0" xfId="56" applyFont="1" applyBorder="1" applyAlignment="1">
      <alignment wrapText="1"/>
      <protection/>
    </xf>
    <xf numFmtId="0" fontId="20" fillId="36" borderId="37" xfId="57" applyFont="1" applyFill="1" applyBorder="1" applyAlignment="1">
      <alignment horizontal="center" vertical="center" wrapText="1"/>
      <protection/>
    </xf>
    <xf numFmtId="0" fontId="20" fillId="36" borderId="25" xfId="57" applyFont="1" applyFill="1" applyBorder="1" applyAlignment="1">
      <alignment horizontal="center" vertical="center" wrapText="1"/>
      <protection/>
    </xf>
    <xf numFmtId="0" fontId="20" fillId="36" borderId="38" xfId="57" applyFont="1" applyFill="1" applyBorder="1" applyAlignment="1">
      <alignment horizontal="center" vertical="center" wrapText="1"/>
      <protection/>
    </xf>
    <xf numFmtId="0" fontId="20" fillId="36" borderId="35" xfId="57" applyFont="1" applyFill="1" applyBorder="1" applyAlignment="1">
      <alignment horizontal="center" vertical="center" wrapText="1"/>
      <protection/>
    </xf>
    <xf numFmtId="0" fontId="20" fillId="36" borderId="24" xfId="57" applyFont="1" applyFill="1" applyBorder="1" applyAlignment="1">
      <alignment horizontal="center" vertical="center" wrapText="1"/>
      <protection/>
    </xf>
    <xf numFmtId="0" fontId="20" fillId="36" borderId="30" xfId="57" applyFont="1" applyFill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0" fontId="20" fillId="0" borderId="39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0" fontId="20" fillId="0" borderId="0" xfId="57" applyFont="1" applyAlignment="1">
      <alignment horizontal="center" wrapText="1"/>
      <protection/>
    </xf>
    <xf numFmtId="0" fontId="21" fillId="0" borderId="0" xfId="57" applyFont="1" applyAlignment="1">
      <alignment horizontal="right" vertical="center"/>
      <protection/>
    </xf>
    <xf numFmtId="0" fontId="21" fillId="0" borderId="10" xfId="57" applyFont="1" applyBorder="1" applyAlignment="1">
      <alignment horizontal="center" vertical="center"/>
      <protection/>
    </xf>
    <xf numFmtId="0" fontId="27" fillId="0" borderId="0" xfId="57" applyFont="1" applyAlignment="1">
      <alignment horizontal="center"/>
      <protection/>
    </xf>
    <xf numFmtId="0" fontId="16" fillId="0" borderId="0" xfId="57" applyAlignment="1">
      <alignment horizontal="center"/>
      <protection/>
    </xf>
    <xf numFmtId="0" fontId="21" fillId="0" borderId="43" xfId="57" applyFont="1" applyBorder="1" applyAlignment="1">
      <alignment horizontal="left" vertical="top"/>
      <protection/>
    </xf>
    <xf numFmtId="0" fontId="16" fillId="0" borderId="44" xfId="57" applyFont="1" applyBorder="1">
      <alignment/>
      <protection/>
    </xf>
    <xf numFmtId="0" fontId="16" fillId="0" borderId="11" xfId="57" applyFont="1" applyBorder="1">
      <alignment/>
      <protection/>
    </xf>
    <xf numFmtId="0" fontId="21" fillId="0" borderId="23" xfId="57" applyFont="1" applyBorder="1" applyAlignment="1">
      <alignment horizontal="center" vertical="center"/>
      <protection/>
    </xf>
    <xf numFmtId="0" fontId="21" fillId="0" borderId="0" xfId="57" applyFont="1" applyAlignment="1">
      <alignment horizontal="left" vertical="center"/>
      <protection/>
    </xf>
    <xf numFmtId="0" fontId="21" fillId="0" borderId="10" xfId="57" applyFont="1" applyBorder="1" applyAlignment="1">
      <alignment horizontal="left" vertical="top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H - v diagram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27"/>
          <c:w val="0.9055"/>
          <c:h val="0.78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'Gravitációs csat vízszáll képes'!$G$12:$G$111</c:f>
              <c:numCache/>
            </c:numRef>
          </c:xVal>
          <c:yVal>
            <c:numRef>
              <c:f>'Gravitációs csat vízszáll képes'!$B$12:$B$111</c:f>
              <c:numCache/>
            </c:numRef>
          </c:yVal>
          <c:smooth val="1"/>
        </c:ser>
        <c:axId val="58854307"/>
        <c:axId val="59926716"/>
      </c:scatterChart>
      <c:val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Középsebesség [m/s]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crossBetween val="midCat"/>
        <c:dispUnits/>
      </c:valAx>
      <c:valAx>
        <c:axId val="599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Úsztatási mélység [cm]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8854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38</xdr:row>
      <xdr:rowOff>76200</xdr:rowOff>
    </xdr:from>
    <xdr:to>
      <xdr:col>10</xdr:col>
      <xdr:colOff>438150</xdr:colOff>
      <xdr:row>54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515100"/>
          <a:ext cx="69246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11</xdr:row>
      <xdr:rowOff>47625</xdr:rowOff>
    </xdr:from>
    <xdr:to>
      <xdr:col>19</xdr:col>
      <xdr:colOff>104775</xdr:colOff>
      <xdr:row>31</xdr:row>
      <xdr:rowOff>95250</xdr:rowOff>
    </xdr:to>
    <xdr:graphicFrame>
      <xdr:nvGraphicFramePr>
        <xdr:cNvPr id="1" name="Chart 5"/>
        <xdr:cNvGraphicFramePr/>
      </xdr:nvGraphicFramePr>
      <xdr:xfrm>
        <a:off x="6648450" y="2419350"/>
        <a:ext cx="6829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85</xdr:row>
      <xdr:rowOff>123825</xdr:rowOff>
    </xdr:from>
    <xdr:to>
      <xdr:col>0</xdr:col>
      <xdr:colOff>2476500</xdr:colOff>
      <xdr:row>85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409700" y="17478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781050</xdr:colOff>
      <xdr:row>84</xdr:row>
      <xdr:rowOff>9525</xdr:rowOff>
    </xdr:from>
    <xdr:to>
      <xdr:col>0</xdr:col>
      <xdr:colOff>781050</xdr:colOff>
      <xdr:row>85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781050" y="16983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1076325</xdr:colOff>
      <xdr:row>84</xdr:row>
      <xdr:rowOff>9525</xdr:rowOff>
    </xdr:from>
    <xdr:to>
      <xdr:col>0</xdr:col>
      <xdr:colOff>2809875</xdr:colOff>
      <xdr:row>84</xdr:row>
      <xdr:rowOff>9525</xdr:rowOff>
    </xdr:to>
    <xdr:sp>
      <xdr:nvSpPr>
        <xdr:cNvPr id="3" name="Line 4"/>
        <xdr:cNvSpPr>
          <a:spLocks/>
        </xdr:cNvSpPr>
      </xdr:nvSpPr>
      <xdr:spPr>
        <a:xfrm>
          <a:off x="1076325" y="16983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476250</xdr:colOff>
      <xdr:row>84</xdr:row>
      <xdr:rowOff>95250</xdr:rowOff>
    </xdr:from>
    <xdr:to>
      <xdr:col>0</xdr:col>
      <xdr:colOff>676275</xdr:colOff>
      <xdr:row>84</xdr:row>
      <xdr:rowOff>333375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76250" y="170688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</a:t>
          </a:r>
        </a:p>
      </xdr:txBody>
    </xdr:sp>
    <xdr:clientData/>
  </xdr:twoCellAnchor>
  <xdr:twoCellAnchor>
    <xdr:from>
      <xdr:col>0</xdr:col>
      <xdr:colOff>1800225</xdr:colOff>
      <xdr:row>85</xdr:row>
      <xdr:rowOff>152400</xdr:rowOff>
    </xdr:from>
    <xdr:to>
      <xdr:col>0</xdr:col>
      <xdr:colOff>2114550</xdr:colOff>
      <xdr:row>85</xdr:row>
      <xdr:rowOff>352425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00225" y="17506950"/>
          <a:ext cx="31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0</xdr:col>
      <xdr:colOff>1800225</xdr:colOff>
      <xdr:row>83</xdr:row>
      <xdr:rowOff>152400</xdr:rowOff>
    </xdr:from>
    <xdr:to>
      <xdr:col>0</xdr:col>
      <xdr:colOff>2124075</xdr:colOff>
      <xdr:row>83</xdr:row>
      <xdr:rowOff>361950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800225" y="16744950"/>
          <a:ext cx="323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0</xdr:col>
      <xdr:colOff>781050</xdr:colOff>
      <xdr:row>83</xdr:row>
      <xdr:rowOff>304800</xdr:rowOff>
    </xdr:from>
    <xdr:to>
      <xdr:col>0</xdr:col>
      <xdr:colOff>781050</xdr:colOff>
      <xdr:row>84</xdr:row>
      <xdr:rowOff>9525</xdr:rowOff>
    </xdr:to>
    <xdr:sp>
      <xdr:nvSpPr>
        <xdr:cNvPr id="7" name="Line 8"/>
        <xdr:cNvSpPr>
          <a:spLocks/>
        </xdr:cNvSpPr>
      </xdr:nvSpPr>
      <xdr:spPr>
        <a:xfrm>
          <a:off x="781050" y="16897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781050</xdr:colOff>
      <xdr:row>85</xdr:row>
      <xdr:rowOff>28575</xdr:rowOff>
    </xdr:from>
    <xdr:to>
      <xdr:col>0</xdr:col>
      <xdr:colOff>781050</xdr:colOff>
      <xdr:row>85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781050" y="173831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1314450</xdr:colOff>
      <xdr:row>85</xdr:row>
      <xdr:rowOff>123825</xdr:rowOff>
    </xdr:from>
    <xdr:to>
      <xdr:col>0</xdr:col>
      <xdr:colOff>1400175</xdr:colOff>
      <xdr:row>85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1314450" y="17478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2476500</xdr:colOff>
      <xdr:row>85</xdr:row>
      <xdr:rowOff>123825</xdr:rowOff>
    </xdr:from>
    <xdr:to>
      <xdr:col>0</xdr:col>
      <xdr:colOff>2581275</xdr:colOff>
      <xdr:row>85</xdr:row>
      <xdr:rowOff>123825</xdr:rowOff>
    </xdr:to>
    <xdr:sp>
      <xdr:nvSpPr>
        <xdr:cNvPr id="10" name="Line 11"/>
        <xdr:cNvSpPr>
          <a:spLocks/>
        </xdr:cNvSpPr>
      </xdr:nvSpPr>
      <xdr:spPr>
        <a:xfrm flipH="1">
          <a:off x="2476500" y="17478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2809875</xdr:colOff>
      <xdr:row>84</xdr:row>
      <xdr:rowOff>9525</xdr:rowOff>
    </xdr:from>
    <xdr:to>
      <xdr:col>0</xdr:col>
      <xdr:colOff>2905125</xdr:colOff>
      <xdr:row>84</xdr:row>
      <xdr:rowOff>9525</xdr:rowOff>
    </xdr:to>
    <xdr:sp>
      <xdr:nvSpPr>
        <xdr:cNvPr id="11" name="Line 12"/>
        <xdr:cNvSpPr>
          <a:spLocks/>
        </xdr:cNvSpPr>
      </xdr:nvSpPr>
      <xdr:spPr>
        <a:xfrm flipH="1">
          <a:off x="2809875" y="16983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971550</xdr:colOff>
      <xdr:row>84</xdr:row>
      <xdr:rowOff>9525</xdr:rowOff>
    </xdr:from>
    <xdr:to>
      <xdr:col>0</xdr:col>
      <xdr:colOff>1057275</xdr:colOff>
      <xdr:row>84</xdr:row>
      <xdr:rowOff>9525</xdr:rowOff>
    </xdr:to>
    <xdr:sp>
      <xdr:nvSpPr>
        <xdr:cNvPr id="12" name="Line 13"/>
        <xdr:cNvSpPr>
          <a:spLocks/>
        </xdr:cNvSpPr>
      </xdr:nvSpPr>
      <xdr:spPr>
        <a:xfrm>
          <a:off x="971550" y="16983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3667125</xdr:colOff>
      <xdr:row>85</xdr:row>
      <xdr:rowOff>38100</xdr:rowOff>
    </xdr:from>
    <xdr:to>
      <xdr:col>0</xdr:col>
      <xdr:colOff>5029200</xdr:colOff>
      <xdr:row>85</xdr:row>
      <xdr:rowOff>247650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667125" y="17392650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alMath1 BT"/>
              <a:ea typeface="UniversalMath1 BT"/>
              <a:cs typeface="UniversalMath1 BT"/>
            </a:rPr>
            <a:t>r 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(B-B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/ 2d</a:t>
          </a:r>
        </a:p>
      </xdr:txBody>
    </xdr:sp>
    <xdr:clientData/>
  </xdr:twoCellAnchor>
  <xdr:twoCellAnchor>
    <xdr:from>
      <xdr:col>0</xdr:col>
      <xdr:colOff>1390650</xdr:colOff>
      <xdr:row>86</xdr:row>
      <xdr:rowOff>152400</xdr:rowOff>
    </xdr:from>
    <xdr:to>
      <xdr:col>0</xdr:col>
      <xdr:colOff>2819400</xdr:colOff>
      <xdr:row>88</xdr:row>
      <xdr:rowOff>180975</xdr:rowOff>
    </xdr:to>
    <xdr:sp>
      <xdr:nvSpPr>
        <xdr:cNvPr id="14" name="AutoShape 15"/>
        <xdr:cNvSpPr>
          <a:spLocks/>
        </xdr:cNvSpPr>
      </xdr:nvSpPr>
      <xdr:spPr>
        <a:xfrm rot="10800000">
          <a:off x="1390650" y="17887950"/>
          <a:ext cx="1428750" cy="7905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1609725</xdr:colOff>
      <xdr:row>87</xdr:row>
      <xdr:rowOff>0</xdr:rowOff>
    </xdr:from>
    <xdr:to>
      <xdr:col>0</xdr:col>
      <xdr:colOff>2619375</xdr:colOff>
      <xdr:row>87</xdr:row>
      <xdr:rowOff>0</xdr:rowOff>
    </xdr:to>
    <xdr:sp>
      <xdr:nvSpPr>
        <xdr:cNvPr id="15" name="Line 16"/>
        <xdr:cNvSpPr>
          <a:spLocks/>
        </xdr:cNvSpPr>
      </xdr:nvSpPr>
      <xdr:spPr>
        <a:xfrm>
          <a:off x="1609725" y="181165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2867025</xdr:colOff>
      <xdr:row>87</xdr:row>
      <xdr:rowOff>0</xdr:rowOff>
    </xdr:from>
    <xdr:to>
      <xdr:col>0</xdr:col>
      <xdr:colOff>2867025</xdr:colOff>
      <xdr:row>88</xdr:row>
      <xdr:rowOff>171450</xdr:rowOff>
    </xdr:to>
    <xdr:sp>
      <xdr:nvSpPr>
        <xdr:cNvPr id="16" name="Line 17"/>
        <xdr:cNvSpPr>
          <a:spLocks/>
        </xdr:cNvSpPr>
      </xdr:nvSpPr>
      <xdr:spPr>
        <a:xfrm>
          <a:off x="2867025" y="181165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2114550</xdr:colOff>
      <xdr:row>88</xdr:row>
      <xdr:rowOff>266700</xdr:rowOff>
    </xdr:from>
    <xdr:to>
      <xdr:col>0</xdr:col>
      <xdr:colOff>2619375</xdr:colOff>
      <xdr:row>88</xdr:row>
      <xdr:rowOff>266700</xdr:rowOff>
    </xdr:to>
    <xdr:sp>
      <xdr:nvSpPr>
        <xdr:cNvPr id="17" name="Line 18"/>
        <xdr:cNvSpPr>
          <a:spLocks/>
        </xdr:cNvSpPr>
      </xdr:nvSpPr>
      <xdr:spPr>
        <a:xfrm>
          <a:off x="2114550" y="18764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1514475</xdr:colOff>
      <xdr:row>87</xdr:row>
      <xdr:rowOff>0</xdr:rowOff>
    </xdr:from>
    <xdr:to>
      <xdr:col>0</xdr:col>
      <xdr:colOff>1600200</xdr:colOff>
      <xdr:row>87</xdr:row>
      <xdr:rowOff>0</xdr:rowOff>
    </xdr:to>
    <xdr:sp>
      <xdr:nvSpPr>
        <xdr:cNvPr id="18" name="Line 19"/>
        <xdr:cNvSpPr>
          <a:spLocks/>
        </xdr:cNvSpPr>
      </xdr:nvSpPr>
      <xdr:spPr>
        <a:xfrm>
          <a:off x="1514475" y="18116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2028825</xdr:colOff>
      <xdr:row>88</xdr:row>
      <xdr:rowOff>266700</xdr:rowOff>
    </xdr:from>
    <xdr:to>
      <xdr:col>0</xdr:col>
      <xdr:colOff>2114550</xdr:colOff>
      <xdr:row>88</xdr:row>
      <xdr:rowOff>266700</xdr:rowOff>
    </xdr:to>
    <xdr:sp>
      <xdr:nvSpPr>
        <xdr:cNvPr id="19" name="Line 20"/>
        <xdr:cNvSpPr>
          <a:spLocks/>
        </xdr:cNvSpPr>
      </xdr:nvSpPr>
      <xdr:spPr>
        <a:xfrm>
          <a:off x="2028825" y="18764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2619375</xdr:colOff>
      <xdr:row>88</xdr:row>
      <xdr:rowOff>266700</xdr:rowOff>
    </xdr:from>
    <xdr:to>
      <xdr:col>0</xdr:col>
      <xdr:colOff>2724150</xdr:colOff>
      <xdr:row>88</xdr:row>
      <xdr:rowOff>266700</xdr:rowOff>
    </xdr:to>
    <xdr:sp>
      <xdr:nvSpPr>
        <xdr:cNvPr id="20" name="Line 21"/>
        <xdr:cNvSpPr>
          <a:spLocks/>
        </xdr:cNvSpPr>
      </xdr:nvSpPr>
      <xdr:spPr>
        <a:xfrm flipH="1">
          <a:off x="2619375" y="18764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2619375</xdr:colOff>
      <xdr:row>87</xdr:row>
      <xdr:rowOff>0</xdr:rowOff>
    </xdr:from>
    <xdr:to>
      <xdr:col>0</xdr:col>
      <xdr:colOff>2724150</xdr:colOff>
      <xdr:row>87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2619375" y="18116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2867025</xdr:colOff>
      <xdr:row>86</xdr:row>
      <xdr:rowOff>285750</xdr:rowOff>
    </xdr:from>
    <xdr:to>
      <xdr:col>0</xdr:col>
      <xdr:colOff>2867025</xdr:colOff>
      <xdr:row>86</xdr:row>
      <xdr:rowOff>371475</xdr:rowOff>
    </xdr:to>
    <xdr:sp>
      <xdr:nvSpPr>
        <xdr:cNvPr id="22" name="Line 23"/>
        <xdr:cNvSpPr>
          <a:spLocks/>
        </xdr:cNvSpPr>
      </xdr:nvSpPr>
      <xdr:spPr>
        <a:xfrm>
          <a:off x="2867025" y="180213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2867025</xdr:colOff>
      <xdr:row>88</xdr:row>
      <xdr:rowOff>180975</xdr:rowOff>
    </xdr:from>
    <xdr:to>
      <xdr:col>0</xdr:col>
      <xdr:colOff>2867025</xdr:colOff>
      <xdr:row>88</xdr:row>
      <xdr:rowOff>266700</xdr:rowOff>
    </xdr:to>
    <xdr:sp>
      <xdr:nvSpPr>
        <xdr:cNvPr id="23" name="Line 24"/>
        <xdr:cNvSpPr>
          <a:spLocks/>
        </xdr:cNvSpPr>
      </xdr:nvSpPr>
      <xdr:spPr>
        <a:xfrm flipV="1">
          <a:off x="2867025" y="186785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2019300</xdr:colOff>
      <xdr:row>86</xdr:row>
      <xdr:rowOff>180975</xdr:rowOff>
    </xdr:from>
    <xdr:to>
      <xdr:col>0</xdr:col>
      <xdr:colOff>2238375</xdr:colOff>
      <xdr:row>86</xdr:row>
      <xdr:rowOff>361950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019300" y="1791652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0</xdr:col>
      <xdr:colOff>2019300</xdr:colOff>
      <xdr:row>86</xdr:row>
      <xdr:rowOff>142875</xdr:rowOff>
    </xdr:from>
    <xdr:to>
      <xdr:col>0</xdr:col>
      <xdr:colOff>2238375</xdr:colOff>
      <xdr:row>86</xdr:row>
      <xdr:rowOff>361950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2019300" y="1787842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0</xdr:col>
      <xdr:colOff>2305050</xdr:colOff>
      <xdr:row>88</xdr:row>
      <xdr:rowOff>57150</xdr:rowOff>
    </xdr:from>
    <xdr:to>
      <xdr:col>0</xdr:col>
      <xdr:colOff>2495550</xdr:colOff>
      <xdr:row>88</xdr:row>
      <xdr:rowOff>228600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2305050" y="185547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>
    <xdr:from>
      <xdr:col>0</xdr:col>
      <xdr:colOff>2905125</xdr:colOff>
      <xdr:row>87</xdr:row>
      <xdr:rowOff>200025</xdr:rowOff>
    </xdr:from>
    <xdr:to>
      <xdr:col>0</xdr:col>
      <xdr:colOff>3057525</xdr:colOff>
      <xdr:row>88</xdr:row>
      <xdr:rowOff>19050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2905125" y="1831657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</a:t>
          </a:r>
        </a:p>
      </xdr:txBody>
    </xdr:sp>
    <xdr:clientData/>
  </xdr:twoCellAnchor>
  <xdr:twoCellAnchor>
    <xdr:from>
      <xdr:col>0</xdr:col>
      <xdr:colOff>4133850</xdr:colOff>
      <xdr:row>88</xdr:row>
      <xdr:rowOff>0</xdr:rowOff>
    </xdr:from>
    <xdr:to>
      <xdr:col>0</xdr:col>
      <xdr:colOff>4886325</xdr:colOff>
      <xdr:row>88</xdr:row>
      <xdr:rowOff>219075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4133850" y="18497550"/>
          <a:ext cx="752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alMath1 BT"/>
              <a:ea typeface="UniversalMath1 BT"/>
              <a:cs typeface="UniversalMath1 BT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= a / d</a:t>
          </a:r>
        </a:p>
      </xdr:txBody>
    </xdr:sp>
    <xdr:clientData/>
  </xdr:twoCellAnchor>
  <xdr:twoCellAnchor>
    <xdr:from>
      <xdr:col>0</xdr:col>
      <xdr:colOff>1390650</xdr:colOff>
      <xdr:row>86</xdr:row>
      <xdr:rowOff>152400</xdr:rowOff>
    </xdr:from>
    <xdr:to>
      <xdr:col>0</xdr:col>
      <xdr:colOff>2819400</xdr:colOff>
      <xdr:row>86</xdr:row>
      <xdr:rowOff>152400</xdr:rowOff>
    </xdr:to>
    <xdr:sp>
      <xdr:nvSpPr>
        <xdr:cNvPr id="29" name="Line 30"/>
        <xdr:cNvSpPr>
          <a:spLocks/>
        </xdr:cNvSpPr>
      </xdr:nvSpPr>
      <xdr:spPr>
        <a:xfrm>
          <a:off x="1390650" y="17887950"/>
          <a:ext cx="1428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866775</xdr:colOff>
      <xdr:row>83</xdr:row>
      <xdr:rowOff>133350</xdr:rowOff>
    </xdr:from>
    <xdr:to>
      <xdr:col>0</xdr:col>
      <xdr:colOff>3000375</xdr:colOff>
      <xdr:row>83</xdr:row>
      <xdr:rowOff>133350</xdr:rowOff>
    </xdr:to>
    <xdr:sp>
      <xdr:nvSpPr>
        <xdr:cNvPr id="30" name="Line 31"/>
        <xdr:cNvSpPr>
          <a:spLocks/>
        </xdr:cNvSpPr>
      </xdr:nvSpPr>
      <xdr:spPr>
        <a:xfrm>
          <a:off x="866775" y="16725900"/>
          <a:ext cx="2133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tabSelected="1" view="pageBreakPreview" zoomScaleSheetLayoutView="100" workbookViewId="0" topLeftCell="A1">
      <selection activeCell="A4" sqref="A4"/>
    </sheetView>
  </sheetViews>
  <sheetFormatPr defaultColWidth="8.875" defaultRowHeight="12.75"/>
  <cols>
    <col min="1" max="1" width="11.25390625" style="3" customWidth="1"/>
    <col min="2" max="2" width="9.25390625" style="3" bestFit="1" customWidth="1"/>
    <col min="3" max="3" width="9.125" style="3" customWidth="1"/>
    <col min="4" max="4" width="7.25390625" style="3" customWidth="1"/>
    <col min="5" max="5" width="10.25390625" style="3" customWidth="1"/>
    <col min="6" max="6" width="12.25390625" style="2" customWidth="1"/>
    <col min="7" max="7" width="13.375" style="2" customWidth="1"/>
    <col min="8" max="8" width="8.375" style="2" customWidth="1"/>
    <col min="9" max="9" width="10.875" style="2" customWidth="1"/>
    <col min="10" max="10" width="11.125" style="2" customWidth="1"/>
    <col min="11" max="11" width="9.75390625" style="2" customWidth="1"/>
    <col min="12" max="12" width="9.125" style="2" customWidth="1"/>
    <col min="13" max="13" width="11.75390625" style="2" customWidth="1"/>
    <col min="14" max="14" width="11.625" style="2" customWidth="1"/>
    <col min="15" max="15" width="11.00390625" style="2" customWidth="1"/>
    <col min="16" max="16" width="18.375" style="2" customWidth="1"/>
    <col min="17" max="17" width="11.25390625" style="2" customWidth="1"/>
    <col min="18" max="18" width="13.125" style="2" customWidth="1"/>
    <col min="19" max="19" width="17.375" style="2" customWidth="1"/>
    <col min="20" max="20" width="21.00390625" style="2" customWidth="1"/>
    <col min="21" max="16384" width="8.875" style="2" customWidth="1"/>
  </cols>
  <sheetData>
    <row r="2" spans="1:20" ht="26.25" customHeight="1">
      <c r="A2" s="235" t="s">
        <v>201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30" customHeight="1">
      <c r="A3" s="236" t="s">
        <v>269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</row>
    <row r="4" spans="1:20" ht="18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6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ht="13.5" thickBot="1"/>
    <row r="7" spans="1:20" ht="86.25" customHeight="1" thickBot="1">
      <c r="A7" s="30" t="s">
        <v>38</v>
      </c>
      <c r="B7" s="31" t="s">
        <v>39</v>
      </c>
      <c r="C7" s="31" t="s">
        <v>40</v>
      </c>
      <c r="D7" s="31" t="s">
        <v>6</v>
      </c>
      <c r="E7" s="31" t="s">
        <v>7</v>
      </c>
      <c r="F7" s="31" t="s">
        <v>1</v>
      </c>
      <c r="G7" s="31" t="s">
        <v>0</v>
      </c>
      <c r="H7" s="31" t="s">
        <v>5</v>
      </c>
      <c r="I7" s="31" t="s">
        <v>46</v>
      </c>
      <c r="J7" s="31" t="s">
        <v>3</v>
      </c>
      <c r="K7" s="31" t="s">
        <v>45</v>
      </c>
      <c r="L7" s="32" t="s">
        <v>8</v>
      </c>
      <c r="M7" s="31" t="s">
        <v>47</v>
      </c>
      <c r="N7" s="31" t="s">
        <v>4</v>
      </c>
      <c r="O7" s="54" t="s">
        <v>43</v>
      </c>
      <c r="P7" s="31" t="s">
        <v>42</v>
      </c>
      <c r="Q7" s="31" t="s">
        <v>222</v>
      </c>
      <c r="R7" s="31" t="s">
        <v>37</v>
      </c>
      <c r="S7" s="31" t="s">
        <v>44</v>
      </c>
      <c r="T7" s="33" t="s">
        <v>2</v>
      </c>
    </row>
    <row r="8" spans="1:20" s="1" customFormat="1" ht="21" customHeight="1">
      <c r="A8" s="34"/>
      <c r="B8" s="35"/>
      <c r="C8" s="11">
        <v>0</v>
      </c>
      <c r="D8" s="11">
        <v>0</v>
      </c>
      <c r="E8" s="11">
        <v>1</v>
      </c>
      <c r="F8" s="36">
        <v>10</v>
      </c>
      <c r="G8" s="37">
        <f>(C8/E8)/60</f>
        <v>0</v>
      </c>
      <c r="H8" s="37">
        <f>F8+G8</f>
        <v>10</v>
      </c>
      <c r="I8" s="36">
        <f>270*POWER(H8/10,-0.72)</f>
        <v>270</v>
      </c>
      <c r="J8" s="38" t="s">
        <v>36</v>
      </c>
      <c r="K8" s="38"/>
      <c r="L8" s="39"/>
      <c r="M8" s="37">
        <f>I8*K8*L8</f>
        <v>0</v>
      </c>
      <c r="N8" s="38">
        <f>POWER(0.62,0.72)</f>
        <v>0.7087972378205046</v>
      </c>
      <c r="O8" s="38">
        <f>M8*N8</f>
        <v>0</v>
      </c>
      <c r="P8" s="11"/>
      <c r="Q8" s="11"/>
      <c r="R8" s="11"/>
      <c r="S8" s="11"/>
      <c r="T8" s="40" t="s">
        <v>41</v>
      </c>
    </row>
    <row r="9" spans="1:20" s="1" customFormat="1" ht="16.5" customHeight="1">
      <c r="A9" s="41"/>
      <c r="B9" s="42"/>
      <c r="C9" s="27"/>
      <c r="D9" s="27"/>
      <c r="E9" s="27"/>
      <c r="F9" s="43"/>
      <c r="G9" s="44"/>
      <c r="H9" s="44"/>
      <c r="I9" s="43"/>
      <c r="J9" s="45"/>
      <c r="K9" s="8"/>
      <c r="L9" s="46"/>
      <c r="M9" s="44"/>
      <c r="N9" s="8"/>
      <c r="O9" s="8"/>
      <c r="P9" s="27"/>
      <c r="Q9" s="27"/>
      <c r="R9" s="27"/>
      <c r="S9" s="27"/>
      <c r="T9" s="47"/>
    </row>
    <row r="10" spans="1:20" s="1" customFormat="1" ht="16.5" customHeight="1">
      <c r="A10" s="41"/>
      <c r="B10" s="42"/>
      <c r="C10" s="27"/>
      <c r="D10" s="27"/>
      <c r="E10" s="27"/>
      <c r="F10" s="43"/>
      <c r="G10" s="44"/>
      <c r="H10" s="44"/>
      <c r="I10" s="43"/>
      <c r="J10" s="8"/>
      <c r="K10" s="8"/>
      <c r="L10" s="46"/>
      <c r="M10" s="44"/>
      <c r="N10" s="8"/>
      <c r="O10" s="8"/>
      <c r="P10" s="27"/>
      <c r="Q10" s="27"/>
      <c r="R10" s="27"/>
      <c r="S10" s="27"/>
      <c r="T10" s="47"/>
    </row>
    <row r="11" spans="1:20" s="1" customFormat="1" ht="16.5" customHeight="1">
      <c r="A11" s="41"/>
      <c r="B11" s="42"/>
      <c r="C11" s="27"/>
      <c r="D11" s="27"/>
      <c r="E11" s="27"/>
      <c r="F11" s="43"/>
      <c r="G11" s="44"/>
      <c r="H11" s="44"/>
      <c r="I11" s="43"/>
      <c r="J11" s="8"/>
      <c r="K11" s="8"/>
      <c r="L11" s="46"/>
      <c r="M11" s="44"/>
      <c r="N11" s="8"/>
      <c r="O11" s="8"/>
      <c r="P11" s="27"/>
      <c r="Q11" s="27"/>
      <c r="R11" s="27"/>
      <c r="S11" s="27"/>
      <c r="T11" s="47"/>
    </row>
    <row r="12" spans="1:20" s="1" customFormat="1" ht="16.5" customHeight="1">
      <c r="A12" s="41"/>
      <c r="B12" s="42"/>
      <c r="C12" s="27"/>
      <c r="D12" s="27"/>
      <c r="E12" s="27"/>
      <c r="F12" s="43"/>
      <c r="G12" s="44"/>
      <c r="H12" s="44"/>
      <c r="I12" s="43"/>
      <c r="J12" s="8"/>
      <c r="K12" s="8"/>
      <c r="L12" s="46"/>
      <c r="M12" s="44"/>
      <c r="N12" s="8"/>
      <c r="O12" s="8"/>
      <c r="P12" s="27"/>
      <c r="Q12" s="27"/>
      <c r="R12" s="27"/>
      <c r="S12" s="27"/>
      <c r="T12" s="47"/>
    </row>
    <row r="13" spans="1:20" s="12" customFormat="1" ht="16.5" customHeight="1">
      <c r="A13" s="28"/>
      <c r="B13" s="4"/>
      <c r="C13" s="5"/>
      <c r="D13" s="5"/>
      <c r="E13" s="5"/>
      <c r="F13" s="6"/>
      <c r="G13" s="7"/>
      <c r="H13" s="7"/>
      <c r="I13" s="6"/>
      <c r="J13" s="9"/>
      <c r="K13" s="9"/>
      <c r="L13" s="10"/>
      <c r="M13" s="7"/>
      <c r="N13" s="9"/>
      <c r="O13" s="9"/>
      <c r="P13" s="5"/>
      <c r="Q13" s="5"/>
      <c r="R13" s="5"/>
      <c r="S13" s="5"/>
      <c r="T13" s="29"/>
    </row>
    <row r="14" spans="1:20" s="1" customFormat="1" ht="18.75" customHeight="1">
      <c r="A14" s="28"/>
      <c r="B14" s="4"/>
      <c r="C14" s="5"/>
      <c r="D14" s="5"/>
      <c r="E14" s="5"/>
      <c r="F14" s="6"/>
      <c r="G14" s="7"/>
      <c r="H14" s="7"/>
      <c r="I14" s="6"/>
      <c r="J14" s="9"/>
      <c r="K14" s="9"/>
      <c r="L14" s="10"/>
      <c r="M14" s="7"/>
      <c r="N14" s="8"/>
      <c r="O14" s="8"/>
      <c r="P14" s="27"/>
      <c r="Q14" s="27"/>
      <c r="R14" s="5"/>
      <c r="S14" s="5"/>
      <c r="T14" s="29"/>
    </row>
    <row r="15" spans="1:20" s="1" customFormat="1" ht="16.5" customHeight="1">
      <c r="A15" s="41"/>
      <c r="B15" s="42"/>
      <c r="C15" s="27"/>
      <c r="D15" s="27"/>
      <c r="E15" s="27"/>
      <c r="F15" s="43"/>
      <c r="G15" s="44"/>
      <c r="H15" s="44"/>
      <c r="I15" s="43"/>
      <c r="J15" s="8"/>
      <c r="K15" s="8"/>
      <c r="L15" s="46"/>
      <c r="M15" s="44"/>
      <c r="N15" s="8"/>
      <c r="O15" s="8"/>
      <c r="P15" s="27"/>
      <c r="Q15" s="27"/>
      <c r="R15" s="27"/>
      <c r="S15" s="27"/>
      <c r="T15" s="47"/>
    </row>
    <row r="16" spans="1:20" s="1" customFormat="1" ht="16.5" customHeight="1">
      <c r="A16" s="41"/>
      <c r="B16" s="42"/>
      <c r="C16" s="27"/>
      <c r="D16" s="27"/>
      <c r="E16" s="27"/>
      <c r="F16" s="43"/>
      <c r="G16" s="44"/>
      <c r="H16" s="44"/>
      <c r="I16" s="43"/>
      <c r="J16" s="8"/>
      <c r="K16" s="8"/>
      <c r="L16" s="46"/>
      <c r="M16" s="44"/>
      <c r="N16" s="8"/>
      <c r="O16" s="8"/>
      <c r="P16" s="27"/>
      <c r="Q16" s="27"/>
      <c r="R16" s="27"/>
      <c r="S16" s="27"/>
      <c r="T16" s="47"/>
    </row>
    <row r="17" spans="1:20" s="1" customFormat="1" ht="16.5" customHeight="1">
      <c r="A17" s="41"/>
      <c r="B17" s="42"/>
      <c r="C17" s="27"/>
      <c r="D17" s="27"/>
      <c r="E17" s="27"/>
      <c r="F17" s="43"/>
      <c r="G17" s="44"/>
      <c r="H17" s="44"/>
      <c r="I17" s="43"/>
      <c r="J17" s="8"/>
      <c r="K17" s="8"/>
      <c r="L17" s="46"/>
      <c r="M17" s="44"/>
      <c r="N17" s="8"/>
      <c r="O17" s="8"/>
      <c r="P17" s="27"/>
      <c r="Q17" s="27"/>
      <c r="R17" s="27"/>
      <c r="S17" s="27"/>
      <c r="T17" s="47"/>
    </row>
    <row r="18" spans="1:20" s="1" customFormat="1" ht="16.5" customHeight="1">
      <c r="A18" s="41"/>
      <c r="B18" s="42"/>
      <c r="C18" s="27"/>
      <c r="D18" s="27"/>
      <c r="E18" s="27"/>
      <c r="F18" s="43"/>
      <c r="G18" s="44"/>
      <c r="H18" s="44"/>
      <c r="I18" s="43"/>
      <c r="J18" s="8"/>
      <c r="K18" s="8"/>
      <c r="L18" s="46"/>
      <c r="M18" s="44"/>
      <c r="N18" s="8"/>
      <c r="O18" s="8"/>
      <c r="P18" s="27"/>
      <c r="Q18" s="27"/>
      <c r="R18" s="27"/>
      <c r="S18" s="27"/>
      <c r="T18" s="47"/>
    </row>
    <row r="19" spans="1:20" s="1" customFormat="1" ht="16.5" customHeight="1">
      <c r="A19" s="41"/>
      <c r="B19" s="42"/>
      <c r="C19" s="27"/>
      <c r="D19" s="27"/>
      <c r="E19" s="27"/>
      <c r="F19" s="43"/>
      <c r="G19" s="44"/>
      <c r="H19" s="44"/>
      <c r="I19" s="43"/>
      <c r="J19" s="8"/>
      <c r="K19" s="8"/>
      <c r="L19" s="46"/>
      <c r="M19" s="44"/>
      <c r="N19" s="8"/>
      <c r="O19" s="8"/>
      <c r="P19" s="27"/>
      <c r="Q19" s="27"/>
      <c r="R19" s="5"/>
      <c r="S19" s="5"/>
      <c r="T19" s="47"/>
    </row>
    <row r="20" spans="1:20" ht="12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</row>
    <row r="21" spans="1:20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</row>
    <row r="22" spans="1:20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</row>
    <row r="23" spans="1:20" ht="13.5" thickBo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</row>
    <row r="25" spans="1:20" ht="12.75">
      <c r="A25" s="237" t="s">
        <v>228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ht="12.7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</row>
    <row r="27" spans="1:20" ht="12.7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</row>
  </sheetData>
  <sheetProtection insertRows="0"/>
  <mergeCells count="3">
    <mergeCell ref="A2:T2"/>
    <mergeCell ref="A3:T3"/>
    <mergeCell ref="A25:T27"/>
  </mergeCells>
  <printOptions horizontalCentered="1"/>
  <pageMargins left="0" right="0" top="2.0866141732283467" bottom="0.7086614173228347" header="0.8661417322834646" footer="0.3937007874015748"/>
  <pageSetup firstPageNumber="13" useFirstPageNumber="1" horizontalDpi="600" verticalDpi="600" orientation="landscape" paperSize="8" scale="75" r:id="rId1"/>
  <headerFooter alignWithMargins="0">
    <oddHeader>&amp;C&amp;"Arial,Normál"&amp;12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55"/>
  <sheetViews>
    <sheetView view="pageBreakPreview" zoomScaleSheetLayoutView="100" zoomScalePageLayoutView="0" workbookViewId="0" topLeftCell="A1">
      <selection activeCell="Q18" sqref="Q18"/>
    </sheetView>
  </sheetViews>
  <sheetFormatPr defaultColWidth="9.00390625" defaultRowHeight="12.75" customHeight="1"/>
  <cols>
    <col min="1" max="1" width="15.875" style="59" customWidth="1"/>
    <col min="2" max="4" width="9.25390625" style="59" bestFit="1" customWidth="1"/>
    <col min="5" max="5" width="13.875" style="59" customWidth="1"/>
    <col min="6" max="7" width="9.25390625" style="59" bestFit="1" customWidth="1"/>
    <col min="8" max="8" width="4.375" style="59" customWidth="1"/>
    <col min="9" max="9" width="4.625" style="59" customWidth="1"/>
    <col min="10" max="13" width="9.25390625" style="59" bestFit="1" customWidth="1"/>
    <col min="14" max="14" width="9.25390625" style="59" customWidth="1"/>
    <col min="15" max="16" width="14.75390625" style="59" customWidth="1"/>
    <col min="17" max="17" width="12.75390625" style="59" customWidth="1"/>
    <col min="18" max="18" width="12.00390625" style="59" customWidth="1"/>
    <col min="19" max="19" width="14.00390625" style="59" customWidth="1"/>
    <col min="20" max="20" width="11.625" style="59" customWidth="1"/>
    <col min="21" max="21" width="16.125" style="59" customWidth="1"/>
    <col min="22" max="22" width="2.875" style="59" customWidth="1"/>
    <col min="23" max="16384" width="9.125" style="59" customWidth="1"/>
  </cols>
  <sheetData>
    <row r="2" spans="1:21" ht="24" customHeight="1">
      <c r="A2" s="240" t="s">
        <v>225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 ht="21.75" customHeight="1">
      <c r="A3" s="241" t="s">
        <v>270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7" spans="1:21" ht="15" customHeight="1" thickBot="1">
      <c r="A7" s="134" t="s">
        <v>72</v>
      </c>
      <c r="B7" s="135" t="s">
        <v>207</v>
      </c>
      <c r="C7" s="136" t="s">
        <v>73</v>
      </c>
      <c r="D7" s="136" t="s">
        <v>74</v>
      </c>
      <c r="E7" s="136" t="s">
        <v>75</v>
      </c>
      <c r="F7" s="136" t="s">
        <v>208</v>
      </c>
      <c r="G7" s="136" t="s">
        <v>76</v>
      </c>
      <c r="H7" s="238" t="s">
        <v>77</v>
      </c>
      <c r="I7" s="239"/>
      <c r="J7" s="137" t="s">
        <v>78</v>
      </c>
      <c r="K7" s="138" t="s">
        <v>79</v>
      </c>
      <c r="L7" s="139" t="s">
        <v>80</v>
      </c>
      <c r="M7" s="139" t="s">
        <v>81</v>
      </c>
      <c r="N7" s="139" t="s">
        <v>82</v>
      </c>
      <c r="O7" s="139" t="s">
        <v>83</v>
      </c>
      <c r="P7" s="139" t="s">
        <v>84</v>
      </c>
      <c r="Q7" s="139" t="s">
        <v>85</v>
      </c>
      <c r="R7" s="139" t="s">
        <v>86</v>
      </c>
      <c r="S7" s="139" t="s">
        <v>87</v>
      </c>
      <c r="T7" s="139" t="s">
        <v>88</v>
      </c>
      <c r="U7" s="140" t="s">
        <v>2</v>
      </c>
    </row>
    <row r="8" spans="1:21" ht="12.75" customHeight="1">
      <c r="A8" s="141"/>
      <c r="B8" s="142">
        <v>1</v>
      </c>
      <c r="C8" s="143">
        <v>17</v>
      </c>
      <c r="D8" s="144">
        <v>0.3</v>
      </c>
      <c r="E8" s="145">
        <f aca="true" t="shared" si="0" ref="E8:E13">270*POWER(180/10,-0.72)</f>
        <v>33.69516291285328</v>
      </c>
      <c r="F8" s="146">
        <v>0.4</v>
      </c>
      <c r="G8" s="146">
        <v>0.5</v>
      </c>
      <c r="H8" s="181">
        <v>1</v>
      </c>
      <c r="I8" s="181">
        <v>1.5</v>
      </c>
      <c r="J8" s="147">
        <v>120</v>
      </c>
      <c r="K8" s="148">
        <f aca="true" t="shared" si="1" ref="K8:K13">(F8+L8)/2*G8</f>
        <v>0.575</v>
      </c>
      <c r="L8" s="149">
        <f aca="true" t="shared" si="2" ref="L8:L13">(G8*I8/H8)*2+F8</f>
        <v>1.9</v>
      </c>
      <c r="M8" s="150">
        <f aca="true" t="shared" si="3" ref="M8:M13">F8+2*(G8/(SIN((ATAN(H8/I8)))))</f>
        <v>2.202775637731995</v>
      </c>
      <c r="N8" s="149">
        <f aca="true" t="shared" si="4" ref="N8:N13">K8/M8</f>
        <v>0.2610343015197077</v>
      </c>
      <c r="O8" s="151">
        <f aca="true" t="shared" si="5" ref="O8:O13">M8*J8</f>
        <v>264.3330765278394</v>
      </c>
      <c r="P8" s="152">
        <f aca="true" t="shared" si="6" ref="P8:P13">B8*D8*E8*3600*3/1000</f>
        <v>109.17232783764462</v>
      </c>
      <c r="Q8" s="152">
        <f aca="true" t="shared" si="7" ref="Q8:Q13">O8*C8*3/1000</f>
        <v>13.480986902919811</v>
      </c>
      <c r="R8" s="152">
        <f aca="true" t="shared" si="8" ref="R8:R13">P8-Q8</f>
        <v>95.6913409347248</v>
      </c>
      <c r="S8" s="153">
        <f aca="true" t="shared" si="9" ref="S8:S13">K8*J8</f>
        <v>69</v>
      </c>
      <c r="T8" s="184">
        <f aca="true" t="shared" si="10" ref="T8:T13">R8/S8*100</f>
        <v>138.683102803949</v>
      </c>
      <c r="U8" s="154" t="str">
        <f aca="true" t="shared" si="11" ref="U8:U13">IF(S8&gt;R8,"Megfelel","Nem felel meg")</f>
        <v>Nem felel meg</v>
      </c>
    </row>
    <row r="9" spans="1:21" ht="12.75" customHeight="1">
      <c r="A9" s="155"/>
      <c r="B9" s="142">
        <v>1</v>
      </c>
      <c r="C9" s="143">
        <v>0</v>
      </c>
      <c r="D9" s="144">
        <v>0</v>
      </c>
      <c r="E9" s="145">
        <f t="shared" si="0"/>
        <v>33.69516291285328</v>
      </c>
      <c r="F9" s="146">
        <v>0.4</v>
      </c>
      <c r="G9" s="146">
        <v>0.5</v>
      </c>
      <c r="H9" s="181">
        <v>1</v>
      </c>
      <c r="I9" s="181">
        <v>1.5</v>
      </c>
      <c r="J9" s="156">
        <v>1</v>
      </c>
      <c r="K9" s="157">
        <f t="shared" si="1"/>
        <v>0.575</v>
      </c>
      <c r="L9" s="149">
        <f t="shared" si="2"/>
        <v>1.9</v>
      </c>
      <c r="M9" s="158">
        <f t="shared" si="3"/>
        <v>2.202775637731995</v>
      </c>
      <c r="N9" s="149">
        <f t="shared" si="4"/>
        <v>0.2610343015197077</v>
      </c>
      <c r="O9" s="151">
        <f t="shared" si="5"/>
        <v>2.202775637731995</v>
      </c>
      <c r="P9" s="152">
        <f t="shared" si="6"/>
        <v>0</v>
      </c>
      <c r="Q9" s="152">
        <f t="shared" si="7"/>
        <v>0</v>
      </c>
      <c r="R9" s="152">
        <f t="shared" si="8"/>
        <v>0</v>
      </c>
      <c r="S9" s="153">
        <f t="shared" si="9"/>
        <v>0.575</v>
      </c>
      <c r="T9" s="184">
        <f t="shared" si="10"/>
        <v>0</v>
      </c>
      <c r="U9" s="159" t="str">
        <f t="shared" si="11"/>
        <v>Megfelel</v>
      </c>
    </row>
    <row r="10" spans="1:21" ht="12.75" customHeight="1">
      <c r="A10" s="155"/>
      <c r="B10" s="142">
        <v>1</v>
      </c>
      <c r="C10" s="143">
        <v>0</v>
      </c>
      <c r="D10" s="144">
        <v>0</v>
      </c>
      <c r="E10" s="145">
        <f t="shared" si="0"/>
        <v>33.69516291285328</v>
      </c>
      <c r="F10" s="146">
        <v>0.4</v>
      </c>
      <c r="G10" s="146">
        <v>0.5</v>
      </c>
      <c r="H10" s="181">
        <v>1</v>
      </c>
      <c r="I10" s="181">
        <v>1.5</v>
      </c>
      <c r="J10" s="156">
        <v>1</v>
      </c>
      <c r="K10" s="157">
        <f t="shared" si="1"/>
        <v>0.575</v>
      </c>
      <c r="L10" s="149">
        <f t="shared" si="2"/>
        <v>1.9</v>
      </c>
      <c r="M10" s="158">
        <f t="shared" si="3"/>
        <v>2.202775637731995</v>
      </c>
      <c r="N10" s="149">
        <f t="shared" si="4"/>
        <v>0.2610343015197077</v>
      </c>
      <c r="O10" s="151">
        <f t="shared" si="5"/>
        <v>2.202775637731995</v>
      </c>
      <c r="P10" s="152">
        <f t="shared" si="6"/>
        <v>0</v>
      </c>
      <c r="Q10" s="152">
        <f t="shared" si="7"/>
        <v>0</v>
      </c>
      <c r="R10" s="152">
        <f t="shared" si="8"/>
        <v>0</v>
      </c>
      <c r="S10" s="153">
        <f t="shared" si="9"/>
        <v>0.575</v>
      </c>
      <c r="T10" s="184">
        <f t="shared" si="10"/>
        <v>0</v>
      </c>
      <c r="U10" s="159" t="str">
        <f t="shared" si="11"/>
        <v>Megfelel</v>
      </c>
    </row>
    <row r="11" spans="1:21" ht="12.75" customHeight="1">
      <c r="A11" s="155"/>
      <c r="B11" s="142">
        <v>1</v>
      </c>
      <c r="C11" s="143">
        <v>0</v>
      </c>
      <c r="D11" s="144">
        <v>0</v>
      </c>
      <c r="E11" s="145">
        <f t="shared" si="0"/>
        <v>33.69516291285328</v>
      </c>
      <c r="F11" s="146">
        <v>0.4</v>
      </c>
      <c r="G11" s="146">
        <v>0.5</v>
      </c>
      <c r="H11" s="181">
        <v>1</v>
      </c>
      <c r="I11" s="181">
        <v>1.5</v>
      </c>
      <c r="J11" s="156">
        <v>1</v>
      </c>
      <c r="K11" s="157">
        <f t="shared" si="1"/>
        <v>0.575</v>
      </c>
      <c r="L11" s="149">
        <f t="shared" si="2"/>
        <v>1.9</v>
      </c>
      <c r="M11" s="158">
        <f t="shared" si="3"/>
        <v>2.202775637731995</v>
      </c>
      <c r="N11" s="149">
        <f t="shared" si="4"/>
        <v>0.2610343015197077</v>
      </c>
      <c r="O11" s="151">
        <f t="shared" si="5"/>
        <v>2.202775637731995</v>
      </c>
      <c r="P11" s="152">
        <f t="shared" si="6"/>
        <v>0</v>
      </c>
      <c r="Q11" s="152">
        <f t="shared" si="7"/>
        <v>0</v>
      </c>
      <c r="R11" s="152">
        <f t="shared" si="8"/>
        <v>0</v>
      </c>
      <c r="S11" s="153">
        <f t="shared" si="9"/>
        <v>0.575</v>
      </c>
      <c r="T11" s="184">
        <f t="shared" si="10"/>
        <v>0</v>
      </c>
      <c r="U11" s="159" t="str">
        <f t="shared" si="11"/>
        <v>Megfelel</v>
      </c>
    </row>
    <row r="12" spans="1:21" ht="12.75" customHeight="1">
      <c r="A12" s="155"/>
      <c r="B12" s="142">
        <v>1</v>
      </c>
      <c r="C12" s="143">
        <v>0</v>
      </c>
      <c r="D12" s="144">
        <v>0</v>
      </c>
      <c r="E12" s="145">
        <f t="shared" si="0"/>
        <v>33.69516291285328</v>
      </c>
      <c r="F12" s="146">
        <v>0.4</v>
      </c>
      <c r="G12" s="146">
        <v>0.5</v>
      </c>
      <c r="H12" s="181">
        <v>1</v>
      </c>
      <c r="I12" s="181">
        <v>1.5</v>
      </c>
      <c r="J12" s="156">
        <v>1</v>
      </c>
      <c r="K12" s="157">
        <f t="shared" si="1"/>
        <v>0.575</v>
      </c>
      <c r="L12" s="149">
        <f t="shared" si="2"/>
        <v>1.9</v>
      </c>
      <c r="M12" s="158">
        <f t="shared" si="3"/>
        <v>2.202775637731995</v>
      </c>
      <c r="N12" s="149">
        <f t="shared" si="4"/>
        <v>0.2610343015197077</v>
      </c>
      <c r="O12" s="151">
        <f t="shared" si="5"/>
        <v>2.202775637731995</v>
      </c>
      <c r="P12" s="152">
        <f t="shared" si="6"/>
        <v>0</v>
      </c>
      <c r="Q12" s="152">
        <f t="shared" si="7"/>
        <v>0</v>
      </c>
      <c r="R12" s="152">
        <f t="shared" si="8"/>
        <v>0</v>
      </c>
      <c r="S12" s="153">
        <f t="shared" si="9"/>
        <v>0.575</v>
      </c>
      <c r="T12" s="184">
        <f t="shared" si="10"/>
        <v>0</v>
      </c>
      <c r="U12" s="159" t="str">
        <f t="shared" si="11"/>
        <v>Megfelel</v>
      </c>
    </row>
    <row r="13" spans="1:21" ht="12.75" customHeight="1">
      <c r="A13" s="155"/>
      <c r="B13" s="142">
        <v>1</v>
      </c>
      <c r="C13" s="143">
        <v>0</v>
      </c>
      <c r="D13" s="144">
        <v>0</v>
      </c>
      <c r="E13" s="145">
        <f t="shared" si="0"/>
        <v>33.69516291285328</v>
      </c>
      <c r="F13" s="146">
        <v>0.4</v>
      </c>
      <c r="G13" s="146">
        <v>0.5</v>
      </c>
      <c r="H13" s="181">
        <v>1</v>
      </c>
      <c r="I13" s="181">
        <v>1.5</v>
      </c>
      <c r="J13" s="156">
        <v>1</v>
      </c>
      <c r="K13" s="157">
        <f t="shared" si="1"/>
        <v>0.575</v>
      </c>
      <c r="L13" s="149">
        <f t="shared" si="2"/>
        <v>1.9</v>
      </c>
      <c r="M13" s="158">
        <f t="shared" si="3"/>
        <v>2.202775637731995</v>
      </c>
      <c r="N13" s="149">
        <f t="shared" si="4"/>
        <v>0.2610343015197077</v>
      </c>
      <c r="O13" s="151">
        <f t="shared" si="5"/>
        <v>2.202775637731995</v>
      </c>
      <c r="P13" s="152">
        <f t="shared" si="6"/>
        <v>0</v>
      </c>
      <c r="Q13" s="152">
        <f t="shared" si="7"/>
        <v>0</v>
      </c>
      <c r="R13" s="152">
        <f t="shared" si="8"/>
        <v>0</v>
      </c>
      <c r="S13" s="153">
        <f t="shared" si="9"/>
        <v>0.575</v>
      </c>
      <c r="T13" s="184">
        <f t="shared" si="10"/>
        <v>0</v>
      </c>
      <c r="U13" s="159" t="str">
        <f t="shared" si="11"/>
        <v>Megfelel</v>
      </c>
    </row>
    <row r="14" spans="1:21" ht="12.7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</row>
    <row r="15" spans="1:21" ht="12.75" customHeight="1">
      <c r="A15" s="161" t="s">
        <v>204</v>
      </c>
      <c r="B15" s="162" t="s">
        <v>89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</row>
    <row r="16" spans="1:21" ht="12.75" customHeight="1">
      <c r="A16" s="163" t="s">
        <v>90</v>
      </c>
      <c r="B16" s="162" t="s">
        <v>226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</row>
    <row r="17" spans="1:21" ht="12.75" customHeight="1">
      <c r="A17" s="161" t="s">
        <v>53</v>
      </c>
      <c r="B17" s="162" t="s">
        <v>61</v>
      </c>
      <c r="C17" s="164"/>
      <c r="D17" s="165"/>
      <c r="E17" s="165"/>
      <c r="F17" s="165"/>
      <c r="G17" s="163"/>
      <c r="H17" s="166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</row>
    <row r="18" spans="1:21" ht="12.75" customHeight="1">
      <c r="A18" s="163" t="s">
        <v>71</v>
      </c>
      <c r="B18" s="167" t="s">
        <v>206</v>
      </c>
      <c r="C18" s="168"/>
      <c r="D18" s="165"/>
      <c r="E18" s="165"/>
      <c r="F18" s="165"/>
      <c r="G18" s="163"/>
      <c r="H18" s="16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</row>
    <row r="19" spans="1:21" ht="12.75" customHeight="1">
      <c r="A19" s="170" t="s">
        <v>203</v>
      </c>
      <c r="B19" s="171" t="s">
        <v>91</v>
      </c>
      <c r="C19" s="172"/>
      <c r="D19" s="165"/>
      <c r="E19" s="165"/>
      <c r="F19" s="165"/>
      <c r="G19" s="163"/>
      <c r="H19" s="169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</row>
    <row r="20" spans="1:21" ht="12.75" customHeight="1">
      <c r="A20" s="170" t="s">
        <v>56</v>
      </c>
      <c r="B20" s="171" t="s">
        <v>92</v>
      </c>
      <c r="C20" s="173"/>
      <c r="D20" s="165"/>
      <c r="E20" s="165"/>
      <c r="F20" s="165"/>
      <c r="G20" s="163"/>
      <c r="H20" s="169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1:21" ht="12.75" customHeight="1">
      <c r="A21" s="170" t="s">
        <v>54</v>
      </c>
      <c r="B21" s="167" t="s">
        <v>224</v>
      </c>
      <c r="C21" s="174"/>
      <c r="D21" s="165"/>
      <c r="E21" s="165"/>
      <c r="F21" s="165"/>
      <c r="G21" s="163"/>
      <c r="H21" s="166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</row>
    <row r="22" spans="1:21" ht="12.75" customHeight="1">
      <c r="A22" s="161" t="s">
        <v>60</v>
      </c>
      <c r="B22" s="162" t="s">
        <v>93</v>
      </c>
      <c r="C22" s="174"/>
      <c r="D22" s="165"/>
      <c r="E22" s="165"/>
      <c r="F22" s="165"/>
      <c r="G22" s="163"/>
      <c r="H22" s="175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</row>
    <row r="23" spans="1:21" ht="12.75" customHeight="1">
      <c r="A23" s="170" t="s">
        <v>50</v>
      </c>
      <c r="B23" s="171" t="s">
        <v>209</v>
      </c>
      <c r="C23" s="172"/>
      <c r="D23" s="172"/>
      <c r="E23" s="165"/>
      <c r="F23" s="165"/>
      <c r="G23" s="163"/>
      <c r="H23" s="175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</row>
    <row r="24" spans="1:21" ht="12.75" customHeight="1">
      <c r="A24" s="170" t="s">
        <v>48</v>
      </c>
      <c r="B24" s="171" t="s">
        <v>94</v>
      </c>
      <c r="C24" s="174"/>
      <c r="D24" s="165"/>
      <c r="E24" s="165"/>
      <c r="F24" s="165"/>
      <c r="G24" s="163"/>
      <c r="H24" s="175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</row>
    <row r="25" spans="1:21" ht="12.75" customHeight="1">
      <c r="A25" s="170" t="s">
        <v>52</v>
      </c>
      <c r="B25" s="171" t="s">
        <v>95</v>
      </c>
      <c r="C25" s="165"/>
      <c r="D25" s="165"/>
      <c r="E25" s="165"/>
      <c r="F25" s="165"/>
      <c r="G25" s="163"/>
      <c r="H25" s="175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</row>
    <row r="26" spans="1:21" ht="12.75" customHeight="1">
      <c r="A26" s="170" t="s">
        <v>49</v>
      </c>
      <c r="B26" s="171" t="s">
        <v>96</v>
      </c>
      <c r="C26" s="165"/>
      <c r="D26" s="165"/>
      <c r="E26" s="165"/>
      <c r="F26" s="165"/>
      <c r="G26" s="176"/>
      <c r="H26" s="177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</row>
    <row r="27" spans="1:21" ht="12.75" customHeight="1">
      <c r="A27" s="163" t="s">
        <v>97</v>
      </c>
      <c r="B27" s="162" t="s">
        <v>210</v>
      </c>
      <c r="C27" s="165"/>
      <c r="D27" s="165"/>
      <c r="E27" s="165"/>
      <c r="F27" s="165"/>
      <c r="G27" s="163"/>
      <c r="H27" s="178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</row>
    <row r="28" spans="1:21" ht="12.75" customHeight="1">
      <c r="A28" s="163" t="s">
        <v>98</v>
      </c>
      <c r="B28" s="162" t="s">
        <v>211</v>
      </c>
      <c r="C28" s="165"/>
      <c r="D28" s="165"/>
      <c r="E28" s="165"/>
      <c r="F28" s="165"/>
      <c r="G28" s="165"/>
      <c r="H28" s="165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</row>
    <row r="29" spans="1:21" ht="12.75" customHeight="1">
      <c r="A29" s="163" t="s">
        <v>99</v>
      </c>
      <c r="B29" s="162" t="s">
        <v>212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</row>
    <row r="30" spans="1:21" ht="12.75" customHeight="1">
      <c r="A30" s="163" t="s">
        <v>100</v>
      </c>
      <c r="B30" s="179" t="s">
        <v>213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</row>
    <row r="31" spans="1:21" ht="12.75" customHeight="1">
      <c r="A31" s="161" t="s">
        <v>101</v>
      </c>
      <c r="B31" s="162" t="s">
        <v>214</v>
      </c>
      <c r="C31" s="160"/>
      <c r="D31" s="165"/>
      <c r="E31" s="165"/>
      <c r="F31" s="165"/>
      <c r="G31" s="165"/>
      <c r="H31" s="165"/>
      <c r="I31" s="165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</row>
    <row r="32" spans="1:21" ht="12.75" customHeight="1">
      <c r="A32" s="161" t="s">
        <v>102</v>
      </c>
      <c r="B32" s="162" t="s">
        <v>103</v>
      </c>
      <c r="C32" s="160"/>
      <c r="D32" s="180"/>
      <c r="E32" s="165"/>
      <c r="F32" s="165"/>
      <c r="G32" s="163"/>
      <c r="H32" s="163"/>
      <c r="I32" s="169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</row>
    <row r="33" spans="4:9" ht="12.75" customHeight="1">
      <c r="D33" s="77"/>
      <c r="E33" s="74"/>
      <c r="F33" s="74"/>
      <c r="G33" s="67"/>
      <c r="H33" s="67"/>
      <c r="I33" s="76"/>
    </row>
    <row r="34" spans="4:9" ht="12.75" customHeight="1">
      <c r="D34" s="77"/>
      <c r="E34" s="74"/>
      <c r="F34" s="74"/>
      <c r="G34" s="67"/>
      <c r="H34" s="67"/>
      <c r="I34" s="75"/>
    </row>
    <row r="35" spans="1:20" ht="12.75" customHeight="1">
      <c r="A35" s="237" t="s">
        <v>228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</row>
    <row r="36" spans="1:20" ht="12.75" customHeight="1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</row>
    <row r="37" spans="1:20" ht="12.75" customHeight="1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4:9" ht="12.75" customHeight="1">
      <c r="D38" s="74"/>
      <c r="E38" s="74"/>
      <c r="F38" s="74"/>
      <c r="G38" s="67"/>
      <c r="H38" s="67"/>
      <c r="I38" s="71"/>
    </row>
    <row r="39" spans="4:14" ht="12.75" customHeight="1">
      <c r="D39" s="74"/>
      <c r="E39" s="74"/>
      <c r="F39" s="74"/>
      <c r="G39" s="67"/>
      <c r="H39" s="67"/>
      <c r="I39" s="78"/>
      <c r="M39" s="64"/>
      <c r="N39" s="61"/>
    </row>
    <row r="40" spans="4:14" ht="12.75" customHeight="1">
      <c r="D40" s="74"/>
      <c r="E40" s="74"/>
      <c r="F40" s="74"/>
      <c r="G40" s="74"/>
      <c r="H40" s="74"/>
      <c r="I40" s="74"/>
      <c r="M40" s="64"/>
      <c r="N40" s="61"/>
    </row>
    <row r="41" spans="4:14" ht="12.75" customHeight="1">
      <c r="D41" s="74"/>
      <c r="E41" s="74"/>
      <c r="F41" s="74"/>
      <c r="G41" s="74"/>
      <c r="H41" s="74"/>
      <c r="I41" s="74"/>
      <c r="M41" s="64"/>
      <c r="N41" s="61"/>
    </row>
    <row r="42" spans="13:14" ht="12.75" customHeight="1">
      <c r="M42" s="64"/>
      <c r="N42" s="61"/>
    </row>
    <row r="43" spans="13:14" ht="12.75" customHeight="1">
      <c r="M43" s="64"/>
      <c r="N43" s="61"/>
    </row>
    <row r="44" spans="13:14" ht="12.75" customHeight="1">
      <c r="M44" s="64"/>
      <c r="N44" s="61"/>
    </row>
    <row r="45" spans="13:14" ht="12.75" customHeight="1">
      <c r="M45" s="67"/>
      <c r="N45" s="72"/>
    </row>
    <row r="46" spans="13:14" ht="12.75" customHeight="1">
      <c r="M46" s="67"/>
      <c r="N46" s="72"/>
    </row>
    <row r="47" spans="13:14" ht="12.75" customHeight="1">
      <c r="M47" s="67"/>
      <c r="N47" s="72"/>
    </row>
    <row r="49" spans="13:14" ht="12.75" customHeight="1">
      <c r="M49" s="62"/>
      <c r="N49" s="72"/>
    </row>
    <row r="50" spans="13:14" ht="12.75" customHeight="1">
      <c r="M50" s="62"/>
      <c r="N50" s="72"/>
    </row>
    <row r="51" spans="13:14" ht="12.75" customHeight="1">
      <c r="M51" s="62"/>
      <c r="N51" s="72"/>
    </row>
    <row r="52" spans="13:14" ht="12.75" customHeight="1">
      <c r="M52" s="62"/>
      <c r="N52" s="72"/>
    </row>
    <row r="53" spans="13:14" ht="12.75" customHeight="1">
      <c r="M53" s="62"/>
      <c r="N53" s="72"/>
    </row>
    <row r="55" spans="13:14" ht="12.75" customHeight="1">
      <c r="M55" s="62"/>
      <c r="N55" s="72"/>
    </row>
  </sheetData>
  <sheetProtection/>
  <mergeCells count="4">
    <mergeCell ref="H7:I7"/>
    <mergeCell ref="A2:U2"/>
    <mergeCell ref="A3:U3"/>
    <mergeCell ref="A35:T3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10.125" style="59" customWidth="1"/>
    <col min="2" max="4" width="8.375" style="59" customWidth="1"/>
    <col min="5" max="5" width="9.25390625" style="59" customWidth="1"/>
    <col min="6" max="6" width="8.375" style="59" bestFit="1" customWidth="1"/>
    <col min="7" max="7" width="10.00390625" style="59" bestFit="1" customWidth="1"/>
    <col min="8" max="8" width="5.00390625" style="59" customWidth="1"/>
    <col min="9" max="9" width="7.75390625" style="59" customWidth="1"/>
    <col min="10" max="10" width="42.75390625" style="59" customWidth="1"/>
    <col min="11" max="11" width="3.00390625" style="59" customWidth="1"/>
    <col min="12" max="12" width="9.125" style="59" customWidth="1"/>
    <col min="13" max="13" width="17.875" style="59" customWidth="1"/>
    <col min="14" max="14" width="13.625" style="59" customWidth="1"/>
    <col min="15" max="15" width="9.25390625" style="59" customWidth="1"/>
    <col min="16" max="16" width="10.125" style="59" customWidth="1"/>
    <col min="17" max="17" width="13.625" style="59" customWidth="1"/>
    <col min="18" max="16384" width="9.125" style="59" customWidth="1"/>
  </cols>
  <sheetData>
    <row r="1" spans="1:5" s="2" customFormat="1" ht="12.75">
      <c r="A1" s="3"/>
      <c r="B1" s="3"/>
      <c r="C1" s="3"/>
      <c r="D1" s="3"/>
      <c r="E1" s="3"/>
    </row>
    <row r="2" spans="1:20" s="2" customFormat="1" ht="26.25" customHeight="1">
      <c r="A2" s="242" t="s">
        <v>215</v>
      </c>
      <c r="B2" s="242"/>
      <c r="C2" s="242"/>
      <c r="D2" s="242"/>
      <c r="E2" s="242"/>
      <c r="F2" s="242"/>
      <c r="G2" s="242"/>
      <c r="H2" s="242"/>
      <c r="I2" s="242"/>
      <c r="J2" s="24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s="2" customFormat="1" ht="30" customHeight="1">
      <c r="A3" s="243" t="s">
        <v>223</v>
      </c>
      <c r="B3" s="243"/>
      <c r="C3" s="243"/>
      <c r="D3" s="243"/>
      <c r="E3" s="243"/>
      <c r="F3" s="243"/>
      <c r="G3" s="243"/>
      <c r="H3" s="243"/>
      <c r="I3" s="243"/>
      <c r="J3" s="24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6" spans="1:31" ht="15" customHeight="1">
      <c r="A6" s="110"/>
      <c r="B6" s="111"/>
      <c r="C6" s="112"/>
      <c r="D6" s="113"/>
      <c r="E6" s="113"/>
      <c r="F6" s="114"/>
      <c r="G6" s="114"/>
      <c r="H6" s="110"/>
      <c r="I6" s="110"/>
      <c r="J6" s="110"/>
      <c r="K6" s="56"/>
      <c r="L6" s="55"/>
      <c r="M6" s="57"/>
      <c r="N6" s="58"/>
      <c r="O6" s="58"/>
      <c r="P6" s="55"/>
      <c r="AA6" s="60"/>
      <c r="AB6" s="60"/>
      <c r="AC6" s="60"/>
      <c r="AD6" s="60"/>
      <c r="AE6" s="60"/>
    </row>
    <row r="7" spans="1:31" ht="17.25">
      <c r="A7" s="115"/>
      <c r="B7" s="116" t="s">
        <v>202</v>
      </c>
      <c r="C7" s="115"/>
      <c r="D7" s="115"/>
      <c r="E7" s="115"/>
      <c r="F7" s="115"/>
      <c r="G7" s="115"/>
      <c r="H7" s="115"/>
      <c r="I7" s="115"/>
      <c r="J7" s="117"/>
      <c r="K7" s="60"/>
      <c r="AA7" s="60"/>
      <c r="AB7" s="60"/>
      <c r="AC7" s="60"/>
      <c r="AD7" s="60"/>
      <c r="AE7" s="60"/>
    </row>
    <row r="8" spans="1:11" ht="15">
      <c r="A8" s="118"/>
      <c r="B8" s="119"/>
      <c r="C8" s="116"/>
      <c r="D8" s="115"/>
      <c r="E8" s="115"/>
      <c r="F8" s="118" t="s">
        <v>48</v>
      </c>
      <c r="G8" s="120">
        <f>(B14/B13*C13)*2+B12</f>
        <v>1.7000000000000002</v>
      </c>
      <c r="H8" s="115"/>
      <c r="I8" s="118"/>
      <c r="J8" s="116"/>
      <c r="K8" s="60"/>
    </row>
    <row r="9" spans="1:11" ht="15">
      <c r="A9" s="118"/>
      <c r="B9" s="121"/>
      <c r="C9" s="116"/>
      <c r="D9" s="115"/>
      <c r="E9" s="115"/>
      <c r="F9" s="118" t="s">
        <v>49</v>
      </c>
      <c r="G9" s="120">
        <f>G10/G11</f>
        <v>0.22654482212112684</v>
      </c>
      <c r="H9" s="115"/>
      <c r="I9" s="118" t="s">
        <v>48</v>
      </c>
      <c r="J9" s="130" t="s">
        <v>63</v>
      </c>
      <c r="K9" s="60"/>
    </row>
    <row r="10" spans="1:11" ht="15">
      <c r="A10" s="118"/>
      <c r="B10" s="122"/>
      <c r="C10" s="116"/>
      <c r="D10" s="115"/>
      <c r="E10" s="115"/>
      <c r="F10" s="118" t="s">
        <v>50</v>
      </c>
      <c r="G10" s="123">
        <f>(G8+B12)/2*B14</f>
        <v>0.44000000000000006</v>
      </c>
      <c r="H10" s="115"/>
      <c r="I10" s="118" t="s">
        <v>49</v>
      </c>
      <c r="J10" s="130" t="s">
        <v>65</v>
      </c>
      <c r="K10" s="60"/>
    </row>
    <row r="11" spans="1:11" ht="15">
      <c r="A11" s="118" t="s">
        <v>51</v>
      </c>
      <c r="B11" s="124">
        <v>0.002</v>
      </c>
      <c r="C11" s="115"/>
      <c r="D11" s="115"/>
      <c r="E11" s="115"/>
      <c r="F11" s="118" t="s">
        <v>52</v>
      </c>
      <c r="G11" s="120">
        <f>B12+2*(B14/(SIN(G13)))</f>
        <v>1.942220510185596</v>
      </c>
      <c r="H11" s="115"/>
      <c r="I11" s="118" t="s">
        <v>50</v>
      </c>
      <c r="J11" s="130" t="s">
        <v>62</v>
      </c>
      <c r="K11" s="60"/>
    </row>
    <row r="12" spans="1:18" ht="17.25">
      <c r="A12" s="118" t="s">
        <v>203</v>
      </c>
      <c r="B12" s="125">
        <v>0.5</v>
      </c>
      <c r="C12" s="115"/>
      <c r="D12" s="115"/>
      <c r="E12" s="115"/>
      <c r="F12" s="126" t="s">
        <v>53</v>
      </c>
      <c r="G12" s="127">
        <f>DEGREES(G13)</f>
        <v>33.690067525979785</v>
      </c>
      <c r="H12" s="115"/>
      <c r="I12" s="118" t="s">
        <v>52</v>
      </c>
      <c r="J12" s="130" t="s">
        <v>64</v>
      </c>
      <c r="K12" s="63"/>
      <c r="L12" s="60"/>
      <c r="M12" s="60"/>
      <c r="N12" s="60"/>
      <c r="O12" s="60"/>
      <c r="P12" s="67"/>
      <c r="Q12" s="68"/>
      <c r="R12" s="60"/>
    </row>
    <row r="13" spans="1:18" ht="15">
      <c r="A13" s="118" t="s">
        <v>54</v>
      </c>
      <c r="B13" s="124">
        <v>1</v>
      </c>
      <c r="C13" s="128">
        <v>1.5</v>
      </c>
      <c r="D13" s="115"/>
      <c r="E13" s="115"/>
      <c r="F13" s="126" t="s">
        <v>55</v>
      </c>
      <c r="G13" s="129">
        <f>ATAN(B13/C13)</f>
        <v>0.5880026035475675</v>
      </c>
      <c r="H13" s="115"/>
      <c r="I13" s="126" t="s">
        <v>53</v>
      </c>
      <c r="J13" s="116" t="s">
        <v>219</v>
      </c>
      <c r="K13" s="65"/>
      <c r="L13" s="60"/>
      <c r="M13" s="60"/>
      <c r="N13" s="60"/>
      <c r="O13" s="60"/>
      <c r="P13" s="67"/>
      <c r="Q13" s="68"/>
      <c r="R13" s="60"/>
    </row>
    <row r="14" spans="1:18" ht="15">
      <c r="A14" s="118" t="s">
        <v>56</v>
      </c>
      <c r="B14" s="125">
        <v>0.4</v>
      </c>
      <c r="C14" s="115"/>
      <c r="D14" s="115"/>
      <c r="E14" s="115"/>
      <c r="F14" s="126" t="s">
        <v>57</v>
      </c>
      <c r="G14" s="127">
        <f>1/B15*POWER(G9,1/6)</f>
        <v>52.051641625948804</v>
      </c>
      <c r="H14" s="115"/>
      <c r="I14" s="126" t="s">
        <v>57</v>
      </c>
      <c r="J14" s="130" t="s">
        <v>69</v>
      </c>
      <c r="K14" s="69"/>
      <c r="L14" s="60"/>
      <c r="M14" s="60"/>
      <c r="N14" s="60"/>
      <c r="O14" s="60"/>
      <c r="P14" s="67"/>
      <c r="Q14" s="70"/>
      <c r="R14" s="60"/>
    </row>
    <row r="15" spans="1:18" ht="17.25">
      <c r="A15" s="126" t="s">
        <v>59</v>
      </c>
      <c r="B15" s="128">
        <v>0.015</v>
      </c>
      <c r="C15" s="115"/>
      <c r="D15" s="115"/>
      <c r="E15" s="115"/>
      <c r="F15" s="126" t="s">
        <v>205</v>
      </c>
      <c r="G15" s="183">
        <f>G14*SQRT(G9*B11)</f>
        <v>1.107966167395568</v>
      </c>
      <c r="H15" s="115"/>
      <c r="I15" s="126" t="s">
        <v>205</v>
      </c>
      <c r="J15" s="130" t="s">
        <v>68</v>
      </c>
      <c r="K15" s="66"/>
      <c r="L15" s="60"/>
      <c r="M15" s="60"/>
      <c r="N15" s="60"/>
      <c r="O15" s="60"/>
      <c r="P15" s="67"/>
      <c r="Q15" s="71"/>
      <c r="R15" s="60"/>
    </row>
    <row r="16" spans="1:18" ht="17.25">
      <c r="A16" s="115"/>
      <c r="B16" s="115"/>
      <c r="C16" s="115"/>
      <c r="D16" s="115"/>
      <c r="E16" s="115"/>
      <c r="F16" s="118" t="s">
        <v>216</v>
      </c>
      <c r="G16" s="182">
        <f>G15*G10*1000</f>
        <v>487.50511365405004</v>
      </c>
      <c r="H16" s="115"/>
      <c r="I16" s="118" t="s">
        <v>217</v>
      </c>
      <c r="J16" s="116" t="s">
        <v>218</v>
      </c>
      <c r="K16" s="60"/>
      <c r="R16" s="60"/>
    </row>
    <row r="17" spans="1:18" ht="15">
      <c r="A17" s="115"/>
      <c r="B17" s="115"/>
      <c r="C17" s="115"/>
      <c r="D17" s="115"/>
      <c r="E17" s="115"/>
      <c r="F17" s="115"/>
      <c r="G17" s="115"/>
      <c r="H17" s="115"/>
      <c r="I17" s="118"/>
      <c r="J17" s="116"/>
      <c r="K17" s="60"/>
      <c r="R17" s="60"/>
    </row>
    <row r="18" spans="1:18" ht="15">
      <c r="A18" s="115"/>
      <c r="B18" s="116" t="s">
        <v>221</v>
      </c>
      <c r="C18" s="115"/>
      <c r="D18" s="115"/>
      <c r="E18" s="115"/>
      <c r="F18" s="115"/>
      <c r="G18" s="115"/>
      <c r="H18" s="115"/>
      <c r="K18" s="60"/>
      <c r="R18" s="60"/>
    </row>
    <row r="19" spans="1:18" ht="15">
      <c r="A19" s="118"/>
      <c r="B19" s="119"/>
      <c r="C19" s="116"/>
      <c r="D19" s="115"/>
      <c r="E19" s="115"/>
      <c r="F19" s="118" t="s">
        <v>48</v>
      </c>
      <c r="G19" s="120">
        <f>(B25/B24*C24)*2+B23</f>
        <v>1.4</v>
      </c>
      <c r="H19" s="115"/>
      <c r="I19" s="118" t="s">
        <v>51</v>
      </c>
      <c r="J19" s="116" t="s">
        <v>58</v>
      </c>
      <c r="K19" s="60"/>
      <c r="R19" s="60"/>
    </row>
    <row r="20" spans="1:18" ht="17.25">
      <c r="A20" s="118"/>
      <c r="B20" s="121"/>
      <c r="C20" s="116"/>
      <c r="D20" s="115"/>
      <c r="E20" s="115"/>
      <c r="F20" s="118" t="s">
        <v>49</v>
      </c>
      <c r="G20" s="120">
        <f>G21/G22</f>
        <v>0.24804136036298516</v>
      </c>
      <c r="H20" s="115"/>
      <c r="I20" s="118" t="s">
        <v>203</v>
      </c>
      <c r="J20" s="130" t="s">
        <v>66</v>
      </c>
      <c r="K20" s="60"/>
      <c r="R20" s="60"/>
    </row>
    <row r="21" spans="1:18" ht="15">
      <c r="A21" s="118"/>
      <c r="B21" s="122"/>
      <c r="C21" s="116"/>
      <c r="D21" s="115"/>
      <c r="E21" s="115"/>
      <c r="F21" s="118" t="s">
        <v>50</v>
      </c>
      <c r="G21" s="123">
        <f>(G19+B23)/2*B25</f>
        <v>0.44999999999999996</v>
      </c>
      <c r="H21" s="115"/>
      <c r="I21" s="118" t="s">
        <v>54</v>
      </c>
      <c r="J21" s="130" t="s">
        <v>220</v>
      </c>
      <c r="K21" s="60"/>
      <c r="R21" s="60"/>
    </row>
    <row r="22" spans="1:18" ht="15">
      <c r="A22" s="118" t="s">
        <v>51</v>
      </c>
      <c r="B22" s="124">
        <v>0.002</v>
      </c>
      <c r="C22" s="115"/>
      <c r="D22" s="115"/>
      <c r="E22" s="115"/>
      <c r="F22" s="118" t="s">
        <v>52</v>
      </c>
      <c r="G22" s="120">
        <f>B23+2*(B25/(SIN(G24)))</f>
        <v>1.8142135623730953</v>
      </c>
      <c r="H22" s="115"/>
      <c r="I22" s="118" t="s">
        <v>56</v>
      </c>
      <c r="J22" s="130" t="s">
        <v>67</v>
      </c>
      <c r="K22" s="60"/>
      <c r="R22" s="60"/>
    </row>
    <row r="23" spans="1:18" ht="17.25">
      <c r="A23" s="118" t="s">
        <v>203</v>
      </c>
      <c r="B23" s="125">
        <v>0.4</v>
      </c>
      <c r="C23" s="115"/>
      <c r="D23" s="115"/>
      <c r="E23" s="115"/>
      <c r="F23" s="126" t="s">
        <v>53</v>
      </c>
      <c r="G23" s="127">
        <f>DEGREES(G24)</f>
        <v>45</v>
      </c>
      <c r="H23" s="115"/>
      <c r="I23" s="126" t="s">
        <v>59</v>
      </c>
      <c r="J23" s="130" t="s">
        <v>70</v>
      </c>
      <c r="K23" s="60"/>
      <c r="R23" s="60"/>
    </row>
    <row r="24" spans="1:18" ht="15">
      <c r="A24" s="118" t="s">
        <v>54</v>
      </c>
      <c r="B24" s="124">
        <v>1</v>
      </c>
      <c r="C24" s="128">
        <v>1</v>
      </c>
      <c r="D24" s="115"/>
      <c r="E24" s="115"/>
      <c r="F24" s="126" t="s">
        <v>55</v>
      </c>
      <c r="G24" s="129">
        <f>ATAN(B24/C24)</f>
        <v>0.7853981633974483</v>
      </c>
      <c r="H24" s="115"/>
      <c r="I24" s="79"/>
      <c r="J24" s="79"/>
      <c r="K24" s="60"/>
      <c r="L24" s="60"/>
      <c r="M24" s="60"/>
      <c r="N24" s="60"/>
      <c r="O24" s="60"/>
      <c r="P24" s="60"/>
      <c r="Q24" s="60"/>
      <c r="R24" s="60"/>
    </row>
    <row r="25" spans="1:11" ht="15">
      <c r="A25" s="118" t="s">
        <v>56</v>
      </c>
      <c r="B25" s="125">
        <v>0.5</v>
      </c>
      <c r="C25" s="115"/>
      <c r="D25" s="115"/>
      <c r="E25" s="115"/>
      <c r="F25" s="126" t="s">
        <v>57</v>
      </c>
      <c r="G25" s="127">
        <f>1/B26*POWER(G20,1/6)</f>
        <v>52.84404962157369</v>
      </c>
      <c r="H25" s="115"/>
      <c r="I25" s="79"/>
      <c r="J25" s="79"/>
      <c r="K25" s="60"/>
    </row>
    <row r="26" spans="1:11" ht="17.25">
      <c r="A26" s="126" t="s">
        <v>59</v>
      </c>
      <c r="B26" s="128">
        <v>0.015</v>
      </c>
      <c r="C26" s="115"/>
      <c r="D26" s="115"/>
      <c r="E26" s="115"/>
      <c r="F26" s="126" t="s">
        <v>205</v>
      </c>
      <c r="G26" s="183">
        <f>G25*SQRT(G20*B22)</f>
        <v>1.1769909995315515</v>
      </c>
      <c r="H26" s="115"/>
      <c r="I26" s="79"/>
      <c r="J26" s="79"/>
      <c r="K26" s="60"/>
    </row>
    <row r="27" spans="1:11" ht="17.25">
      <c r="A27" s="115"/>
      <c r="B27" s="115"/>
      <c r="C27" s="115"/>
      <c r="D27" s="115"/>
      <c r="E27" s="115"/>
      <c r="F27" s="118" t="s">
        <v>216</v>
      </c>
      <c r="G27" s="182">
        <f>G26*G21*1000</f>
        <v>529.6459497891981</v>
      </c>
      <c r="H27" s="115"/>
      <c r="I27" s="79"/>
      <c r="J27" s="79"/>
      <c r="K27" s="60"/>
    </row>
    <row r="28" spans="1:11" ht="15">
      <c r="A28" s="115"/>
      <c r="B28" s="115"/>
      <c r="C28" s="115"/>
      <c r="D28" s="115"/>
      <c r="E28" s="115"/>
      <c r="F28" s="118"/>
      <c r="G28" s="131"/>
      <c r="H28" s="115"/>
      <c r="I28" s="126"/>
      <c r="J28" s="130"/>
      <c r="K28" s="60"/>
    </row>
    <row r="29" ht="12.75" customHeight="1"/>
    <row r="30" spans="7:9" ht="12.75">
      <c r="G30" s="55"/>
      <c r="H30" s="60"/>
      <c r="I30" s="55"/>
    </row>
    <row r="31" spans="7:9" ht="12.75">
      <c r="G31" s="55"/>
      <c r="H31" s="60"/>
      <c r="I31" s="55"/>
    </row>
    <row r="32" spans="7:8" ht="12.75">
      <c r="G32" s="55"/>
      <c r="H32" s="60"/>
    </row>
    <row r="33" spans="7:8" ht="12.75">
      <c r="G33" s="73"/>
      <c r="H33" s="60"/>
    </row>
    <row r="34" spans="7:8" ht="12.75">
      <c r="G34" s="55"/>
      <c r="H34" s="60"/>
    </row>
    <row r="35" spans="7:8" ht="12.75">
      <c r="G35" s="55"/>
      <c r="H35" s="60"/>
    </row>
    <row r="36" spans="7:8" ht="12.75">
      <c r="G36" s="55"/>
      <c r="H36" s="60"/>
    </row>
    <row r="37" spans="7:8" ht="12.75">
      <c r="G37" s="60"/>
      <c r="H37" s="60"/>
    </row>
  </sheetData>
  <sheetProtection/>
  <mergeCells count="2">
    <mergeCell ref="A2:J2"/>
    <mergeCell ref="A3:J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9.125" style="230" customWidth="1"/>
    <col min="2" max="5" width="9.125" style="59" customWidth="1"/>
    <col min="6" max="6" width="9.25390625" style="59" customWidth="1"/>
    <col min="7" max="8" width="9.125" style="59" customWidth="1"/>
    <col min="9" max="9" width="11.125" style="59" customWidth="1"/>
    <col min="10" max="16384" width="9.125" style="59" customWidth="1"/>
  </cols>
  <sheetData>
    <row r="1" spans="1:9" ht="18.75">
      <c r="A1" s="244" t="s">
        <v>229</v>
      </c>
      <c r="B1" s="245"/>
      <c r="C1" s="245"/>
      <c r="D1" s="245"/>
      <c r="E1" s="245"/>
      <c r="F1" s="245"/>
      <c r="G1" s="245"/>
      <c r="H1" s="245"/>
      <c r="I1" s="245"/>
    </row>
    <row r="2" spans="1:9" ht="15">
      <c r="A2" s="246" t="s">
        <v>230</v>
      </c>
      <c r="B2" s="247"/>
      <c r="C2" s="247"/>
      <c r="D2" s="247"/>
      <c r="E2" s="247"/>
      <c r="F2" s="247"/>
      <c r="G2" s="247"/>
      <c r="H2" s="247"/>
      <c r="I2" s="247"/>
    </row>
    <row r="3" spans="1:9" ht="15">
      <c r="A3" s="246" t="s">
        <v>231</v>
      </c>
      <c r="B3" s="247"/>
      <c r="C3" s="247"/>
      <c r="D3" s="247"/>
      <c r="E3" s="247"/>
      <c r="F3" s="247"/>
      <c r="G3" s="247"/>
      <c r="H3" s="247"/>
      <c r="I3" s="247"/>
    </row>
    <row r="4" spans="1:9" ht="29.25" customHeight="1">
      <c r="A4" s="253" t="s">
        <v>223</v>
      </c>
      <c r="B4" s="253"/>
      <c r="C4" s="253"/>
      <c r="D4" s="253"/>
      <c r="E4" s="253"/>
      <c r="F4" s="253"/>
      <c r="G4" s="253"/>
      <c r="H4" s="253"/>
      <c r="I4" s="253"/>
    </row>
    <row r="5" spans="1:9" ht="15.75">
      <c r="A5" s="186"/>
      <c r="B5" s="187"/>
      <c r="C5" s="187"/>
      <c r="D5" s="187"/>
      <c r="E5" s="187"/>
      <c r="F5" s="187"/>
      <c r="G5" s="187"/>
      <c r="H5" s="187"/>
      <c r="I5" s="187"/>
    </row>
    <row r="6" spans="1:11" ht="14.25">
      <c r="A6" s="188"/>
      <c r="B6" s="185"/>
      <c r="C6" s="248" t="s">
        <v>232</v>
      </c>
      <c r="D6" s="249"/>
      <c r="E6" s="249"/>
      <c r="F6" s="185"/>
      <c r="G6" s="185"/>
      <c r="H6" s="185"/>
      <c r="I6" s="231"/>
      <c r="J6" s="232" t="s">
        <v>233</v>
      </c>
      <c r="K6" s="232" t="s">
        <v>234</v>
      </c>
    </row>
    <row r="7" spans="1:11" ht="16.5">
      <c r="A7" s="189"/>
      <c r="B7" s="190"/>
      <c r="C7" s="191" t="s">
        <v>235</v>
      </c>
      <c r="D7" s="192">
        <v>60</v>
      </c>
      <c r="E7" s="193" t="s">
        <v>236</v>
      </c>
      <c r="F7" s="194" t="s">
        <v>237</v>
      </c>
      <c r="G7" s="195">
        <f>0.01*D7/2</f>
        <v>0.3</v>
      </c>
      <c r="H7" s="196" t="s">
        <v>238</v>
      </c>
      <c r="I7" s="233" t="s">
        <v>169</v>
      </c>
      <c r="J7" s="234">
        <v>108</v>
      </c>
      <c r="K7" s="234">
        <v>76</v>
      </c>
    </row>
    <row r="8" spans="1:9" ht="15">
      <c r="A8" s="197"/>
      <c r="B8" s="190"/>
      <c r="C8" s="191" t="s">
        <v>239</v>
      </c>
      <c r="D8" s="192">
        <v>76</v>
      </c>
      <c r="E8" s="193"/>
      <c r="F8" s="198" t="s">
        <v>240</v>
      </c>
      <c r="G8" s="195">
        <f>D9/1000</f>
        <v>0.002</v>
      </c>
      <c r="H8" s="199" t="s">
        <v>241</v>
      </c>
      <c r="I8" s="190"/>
    </row>
    <row r="9" spans="1:9" ht="15">
      <c r="A9" s="200"/>
      <c r="B9" s="201"/>
      <c r="C9" s="191" t="s">
        <v>240</v>
      </c>
      <c r="D9" s="192">
        <v>2</v>
      </c>
      <c r="E9" s="193" t="s">
        <v>242</v>
      </c>
      <c r="F9" s="202"/>
      <c r="G9" s="203"/>
      <c r="H9" s="203"/>
      <c r="I9" s="201"/>
    </row>
    <row r="10" spans="1:9" ht="15">
      <c r="A10" s="200"/>
      <c r="B10" s="201"/>
      <c r="C10" s="191"/>
      <c r="D10" s="201"/>
      <c r="E10" s="193"/>
      <c r="F10" s="201"/>
      <c r="G10" s="201"/>
      <c r="H10" s="201"/>
      <c r="I10" s="201"/>
    </row>
    <row r="11" spans="1:9" ht="17.25">
      <c r="A11" s="204"/>
      <c r="B11" s="204" t="s">
        <v>243</v>
      </c>
      <c r="C11" s="205" t="s">
        <v>244</v>
      </c>
      <c r="D11" s="206" t="s">
        <v>245</v>
      </c>
      <c r="E11" s="206" t="s">
        <v>246</v>
      </c>
      <c r="F11" s="206" t="s">
        <v>247</v>
      </c>
      <c r="G11" s="204" t="s">
        <v>248</v>
      </c>
      <c r="H11" s="207" t="s">
        <v>249</v>
      </c>
      <c r="I11" s="208" t="s">
        <v>250</v>
      </c>
    </row>
    <row r="12" spans="1:9" ht="15">
      <c r="A12" s="209">
        <v>1</v>
      </c>
      <c r="B12" s="210">
        <f aca="true" t="shared" si="0" ref="B12:B75">A12*$B$111/100</f>
        <v>0.6</v>
      </c>
      <c r="C12" s="211">
        <f>ACOS(($B$61-B12)/$B$61)</f>
        <v>0.2003348423231197</v>
      </c>
      <c r="D12" s="212">
        <f>$G$7*$G$7*C12-$G$7*$G$7*SIN(C12)*COS(C12)</f>
        <v>0.000478557418519987</v>
      </c>
      <c r="E12" s="213">
        <f>2*$G$7*C12</f>
        <v>0.12020090539387182</v>
      </c>
      <c r="F12" s="213">
        <f>$D$8*POWER(D12/E12,1/6)</f>
        <v>30.256450501944226</v>
      </c>
      <c r="G12" s="214">
        <f>F12*SQRT(D12*$G$8/E12)</f>
        <v>0.08537803060451378</v>
      </c>
      <c r="H12" s="215">
        <f>G12*D12</f>
        <v>4.085828992441656E-05</v>
      </c>
      <c r="I12" s="216">
        <f>H12*1000</f>
        <v>0.04085828992441656</v>
      </c>
    </row>
    <row r="13" spans="1:9" ht="15">
      <c r="A13" s="209">
        <v>2</v>
      </c>
      <c r="B13" s="210">
        <f t="shared" si="0"/>
        <v>1.2</v>
      </c>
      <c r="C13" s="211">
        <f aca="true" t="shared" si="1" ref="C13:C76">ACOS(($B$61-B13)/$B$61)</f>
        <v>0.2837941092083276</v>
      </c>
      <c r="D13" s="212">
        <f aca="true" t="shared" si="2" ref="D13:D76">$G$7*$G$7*C13-$G$7*$G$7*SIN(C13)*COS(C13)</f>
        <v>0.0013494698287495055</v>
      </c>
      <c r="E13" s="213">
        <f aca="true" t="shared" si="3" ref="E13:E76">2*$G$7*C13</f>
        <v>0.17027646552499656</v>
      </c>
      <c r="F13" s="213">
        <f aca="true" t="shared" si="4" ref="F13:F76">$D$8*POWER(D13/E13,1/6)</f>
        <v>33.93503887116141</v>
      </c>
      <c r="G13" s="214">
        <f aca="true" t="shared" si="5" ref="G13:G76">F13*SQRT(D13*$G$8/E13)</f>
        <v>0.1351038188450668</v>
      </c>
      <c r="H13" s="215">
        <f aca="true" t="shared" si="6" ref="H13:H76">G13*D13</f>
        <v>0.0001823185272802565</v>
      </c>
      <c r="I13" s="216">
        <f aca="true" t="shared" si="7" ref="I13:I76">H13*1000</f>
        <v>0.18231852728025652</v>
      </c>
    </row>
    <row r="14" spans="1:9" ht="15">
      <c r="A14" s="209">
        <v>3</v>
      </c>
      <c r="B14" s="210">
        <f t="shared" si="0"/>
        <v>1.8</v>
      </c>
      <c r="C14" s="211">
        <f t="shared" si="1"/>
        <v>0.3481660212729609</v>
      </c>
      <c r="D14" s="212">
        <f t="shared" si="2"/>
        <v>0.0024715841057459734</v>
      </c>
      <c r="E14" s="213">
        <f t="shared" si="3"/>
        <v>0.20889961276377655</v>
      </c>
      <c r="F14" s="213">
        <f t="shared" si="4"/>
        <v>36.27882550720038</v>
      </c>
      <c r="G14" s="214">
        <f t="shared" si="5"/>
        <v>0.1764765869554911</v>
      </c>
      <c r="H14" s="215">
        <f t="shared" si="6"/>
        <v>0.00043617672735548897</v>
      </c>
      <c r="I14" s="216">
        <f t="shared" si="7"/>
        <v>0.43617672735548896</v>
      </c>
    </row>
    <row r="15" spans="1:9" ht="15">
      <c r="A15" s="209">
        <v>4</v>
      </c>
      <c r="B15" s="210">
        <f t="shared" si="0"/>
        <v>2.4</v>
      </c>
      <c r="C15" s="211">
        <f t="shared" si="1"/>
        <v>0.4027158415806613</v>
      </c>
      <c r="D15" s="212">
        <f t="shared" si="2"/>
        <v>0.0037935856298679863</v>
      </c>
      <c r="E15" s="213">
        <f t="shared" si="3"/>
        <v>0.24162950494839677</v>
      </c>
      <c r="F15" s="213">
        <f t="shared" si="4"/>
        <v>38.030343391345696</v>
      </c>
      <c r="G15" s="214">
        <f t="shared" si="5"/>
        <v>0.2131057698348461</v>
      </c>
      <c r="H15" s="215">
        <f t="shared" si="6"/>
        <v>0.0008084349860874268</v>
      </c>
      <c r="I15" s="216">
        <f t="shared" si="7"/>
        <v>0.8084349860874268</v>
      </c>
    </row>
    <row r="16" spans="1:9" ht="15">
      <c r="A16" s="209">
        <v>5</v>
      </c>
      <c r="B16" s="210">
        <f t="shared" si="0"/>
        <v>3</v>
      </c>
      <c r="C16" s="211">
        <f t="shared" si="1"/>
        <v>0.45102681179626236</v>
      </c>
      <c r="D16" s="212">
        <f t="shared" si="2"/>
        <v>0.005285331618984167</v>
      </c>
      <c r="E16" s="213">
        <f t="shared" si="3"/>
        <v>0.2706160870777574</v>
      </c>
      <c r="F16" s="213">
        <f t="shared" si="4"/>
        <v>39.439678330265124</v>
      </c>
      <c r="G16" s="214">
        <f t="shared" si="5"/>
        <v>0.2464947522011714</v>
      </c>
      <c r="H16" s="215">
        <f t="shared" si="6"/>
        <v>0.0013028065077225182</v>
      </c>
      <c r="I16" s="216">
        <f t="shared" si="7"/>
        <v>1.3028065077225182</v>
      </c>
    </row>
    <row r="17" spans="1:9" ht="15">
      <c r="A17" s="209">
        <v>6</v>
      </c>
      <c r="B17" s="210">
        <f t="shared" si="0"/>
        <v>3.6</v>
      </c>
      <c r="C17" s="211">
        <f t="shared" si="1"/>
        <v>0.4949341263408953</v>
      </c>
      <c r="D17" s="212">
        <f t="shared" si="2"/>
        <v>0.00692615563894447</v>
      </c>
      <c r="E17" s="213">
        <f t="shared" si="3"/>
        <v>0.29696047580453716</v>
      </c>
      <c r="F17" s="213">
        <f t="shared" si="4"/>
        <v>40.62367336754017</v>
      </c>
      <c r="G17" s="214">
        <f t="shared" si="5"/>
        <v>0.27745399817596395</v>
      </c>
      <c r="H17" s="215">
        <f t="shared" si="6"/>
        <v>0.0019216895740141414</v>
      </c>
      <c r="I17" s="216">
        <f t="shared" si="7"/>
        <v>1.9216895740141413</v>
      </c>
    </row>
    <row r="18" spans="1:9" ht="15">
      <c r="A18" s="209">
        <v>7</v>
      </c>
      <c r="B18" s="210">
        <f t="shared" si="0"/>
        <v>4.2</v>
      </c>
      <c r="C18" s="211">
        <f t="shared" si="1"/>
        <v>0.5355266543143877</v>
      </c>
      <c r="D18" s="212">
        <f t="shared" si="2"/>
        <v>0.008700640742847057</v>
      </c>
      <c r="E18" s="213">
        <f t="shared" si="3"/>
        <v>0.32131599258863264</v>
      </c>
      <c r="F18" s="213">
        <f t="shared" si="4"/>
        <v>41.64696980950234</v>
      </c>
      <c r="G18" s="214">
        <f t="shared" si="5"/>
        <v>0.3064840325955758</v>
      </c>
      <c r="H18" s="215">
        <f t="shared" si="6"/>
        <v>0.002666607461033132</v>
      </c>
      <c r="I18" s="216">
        <f t="shared" si="7"/>
        <v>2.666607461033132</v>
      </c>
    </row>
    <row r="19" spans="1:9" ht="15">
      <c r="A19" s="209">
        <v>8</v>
      </c>
      <c r="B19" s="210">
        <f t="shared" si="0"/>
        <v>4.8</v>
      </c>
      <c r="C19" s="211">
        <f t="shared" si="1"/>
        <v>0.5735131044230967</v>
      </c>
      <c r="D19" s="212">
        <f t="shared" si="2"/>
        <v>0.010596647660137085</v>
      </c>
      <c r="E19" s="213">
        <f t="shared" si="3"/>
        <v>0.344107862653858</v>
      </c>
      <c r="F19" s="213">
        <f t="shared" si="4"/>
        <v>42.54931524672839</v>
      </c>
      <c r="G19" s="214">
        <f t="shared" si="5"/>
        <v>0.33392160733023163</v>
      </c>
      <c r="H19" s="215">
        <f t="shared" si="6"/>
        <v>0.0035384496189851135</v>
      </c>
      <c r="I19" s="216">
        <f t="shared" si="7"/>
        <v>3.5384496189851133</v>
      </c>
    </row>
    <row r="20" spans="1:9" ht="15">
      <c r="A20" s="209">
        <v>9</v>
      </c>
      <c r="B20" s="210">
        <f t="shared" si="0"/>
        <v>5.4</v>
      </c>
      <c r="C20" s="211">
        <f t="shared" si="1"/>
        <v>0.6093853080307948</v>
      </c>
      <c r="D20" s="212">
        <f t="shared" si="2"/>
        <v>0.012604249884029181</v>
      </c>
      <c r="E20" s="213">
        <f t="shared" si="3"/>
        <v>0.3656311848184769</v>
      </c>
      <c r="F20" s="213">
        <f t="shared" si="4"/>
        <v>43.35699969886492</v>
      </c>
      <c r="G20" s="214">
        <f t="shared" si="5"/>
        <v>0.3600071337815632</v>
      </c>
      <c r="H20" s="215">
        <f t="shared" si="6"/>
        <v>0.004537619874215946</v>
      </c>
      <c r="I20" s="216">
        <f t="shared" si="7"/>
        <v>4.537619874215946</v>
      </c>
    </row>
    <row r="21" spans="1:9" ht="15">
      <c r="A21" s="209">
        <v>10</v>
      </c>
      <c r="B21" s="210">
        <f t="shared" si="0"/>
        <v>6</v>
      </c>
      <c r="C21" s="211">
        <f t="shared" si="1"/>
        <v>0.6435011087932843</v>
      </c>
      <c r="D21" s="212">
        <f t="shared" si="2"/>
        <v>0.01471509979139559</v>
      </c>
      <c r="E21" s="213">
        <f t="shared" si="3"/>
        <v>0.38610066527597053</v>
      </c>
      <c r="F21" s="213">
        <f t="shared" si="4"/>
        <v>44.0883693059274</v>
      </c>
      <c r="G21" s="214">
        <f t="shared" si="5"/>
        <v>0.3849199002521798</v>
      </c>
      <c r="H21" s="215">
        <f t="shared" si="6"/>
        <v>0.0056641347439048625</v>
      </c>
      <c r="I21" s="216">
        <f t="shared" si="7"/>
        <v>5.664134743904863</v>
      </c>
    </row>
    <row r="22" spans="1:9" ht="15">
      <c r="A22" s="209">
        <v>11</v>
      </c>
      <c r="B22" s="210">
        <f t="shared" si="0"/>
        <v>6.6</v>
      </c>
      <c r="C22" s="211">
        <f t="shared" si="1"/>
        <v>0.6761305095606615</v>
      </c>
      <c r="D22" s="212">
        <f t="shared" si="2"/>
        <v>0.016922023985628587</v>
      </c>
      <c r="E22" s="213">
        <f t="shared" si="3"/>
        <v>0.40567830573639685</v>
      </c>
      <c r="F22" s="213">
        <f t="shared" si="4"/>
        <v>44.756764072345725</v>
      </c>
      <c r="G22" s="214">
        <f t="shared" si="5"/>
        <v>0.40879816573286304</v>
      </c>
      <c r="H22" s="215">
        <f t="shared" si="6"/>
        <v>0.006917692365812479</v>
      </c>
      <c r="I22" s="216">
        <f t="shared" si="7"/>
        <v>6.917692365812479</v>
      </c>
    </row>
    <row r="23" spans="1:9" ht="15">
      <c r="A23" s="209">
        <v>12</v>
      </c>
      <c r="B23" s="210">
        <f t="shared" si="0"/>
        <v>7.2</v>
      </c>
      <c r="C23" s="211">
        <f t="shared" si="1"/>
        <v>0.7074832117793429</v>
      </c>
      <c r="D23" s="212">
        <f t="shared" si="2"/>
        <v>0.019218750909972895</v>
      </c>
      <c r="E23" s="213">
        <f t="shared" si="3"/>
        <v>0.42448992706760574</v>
      </c>
      <c r="F23" s="213">
        <f t="shared" si="4"/>
        <v>45.37220515265469</v>
      </c>
      <c r="G23" s="214">
        <f t="shared" si="5"/>
        <v>0.4317514148081457</v>
      </c>
      <c r="H23" s="215">
        <f t="shared" si="6"/>
        <v>0.008297722896226135</v>
      </c>
      <c r="I23" s="216">
        <f t="shared" si="7"/>
        <v>8.297722896226135</v>
      </c>
    </row>
    <row r="24" spans="1:9" ht="15">
      <c r="A24" s="209">
        <v>13</v>
      </c>
      <c r="B24" s="210">
        <f t="shared" si="0"/>
        <v>7.8</v>
      </c>
      <c r="C24" s="211">
        <f t="shared" si="1"/>
        <v>0.7377259684532488</v>
      </c>
      <c r="D24" s="212">
        <f t="shared" si="2"/>
        <v>0.02159971969658056</v>
      </c>
      <c r="E24" s="213">
        <f t="shared" si="3"/>
        <v>0.4426355810719493</v>
      </c>
      <c r="F24" s="213">
        <f t="shared" si="4"/>
        <v>45.9424224825765</v>
      </c>
      <c r="G24" s="214">
        <f t="shared" si="5"/>
        <v>0.4538682320660515</v>
      </c>
      <c r="H24" s="215">
        <f t="shared" si="6"/>
        <v>0.00980342659180929</v>
      </c>
      <c r="I24" s="216">
        <f t="shared" si="7"/>
        <v>9.80342659180929</v>
      </c>
    </row>
    <row r="25" spans="1:9" ht="15">
      <c r="A25" s="209">
        <v>14</v>
      </c>
      <c r="B25" s="210">
        <f t="shared" si="0"/>
        <v>8.4</v>
      </c>
      <c r="C25" s="211">
        <f t="shared" si="1"/>
        <v>0.7669940078618664</v>
      </c>
      <c r="D25" s="212">
        <f t="shared" si="2"/>
        <v>0.02405994143061773</v>
      </c>
      <c r="E25" s="213">
        <f t="shared" si="3"/>
        <v>0.46019640471711987</v>
      </c>
      <c r="F25" s="213">
        <f t="shared" si="4"/>
        <v>46.47351089650924</v>
      </c>
      <c r="G25" s="214">
        <f t="shared" si="5"/>
        <v>0.47522157904211243</v>
      </c>
      <c r="H25" s="215">
        <f t="shared" si="6"/>
        <v>0.0114338033583189</v>
      </c>
      <c r="I25" s="216">
        <f t="shared" si="7"/>
        <v>11.4338033583189</v>
      </c>
    </row>
    <row r="26" spans="1:9" ht="15">
      <c r="A26" s="209">
        <v>15</v>
      </c>
      <c r="B26" s="210">
        <f t="shared" si="0"/>
        <v>9</v>
      </c>
      <c r="C26" s="211">
        <f t="shared" si="1"/>
        <v>0.7953988301841435</v>
      </c>
      <c r="D26" s="212">
        <f t="shared" si="2"/>
        <v>0.026594895616752948</v>
      </c>
      <c r="E26" s="213">
        <f t="shared" si="3"/>
        <v>0.47723929811048604</v>
      </c>
      <c r="F26" s="213">
        <f t="shared" si="4"/>
        <v>46.970365635248</v>
      </c>
      <c r="G26" s="214">
        <f t="shared" si="5"/>
        <v>0.49587245511681904</v>
      </c>
      <c r="H26" s="215">
        <f t="shared" si="6"/>
        <v>0.013187676183054813</v>
      </c>
      <c r="I26" s="216">
        <f t="shared" si="7"/>
        <v>13.187676183054814</v>
      </c>
    </row>
    <row r="27" spans="1:9" ht="15">
      <c r="A27" s="209">
        <v>16</v>
      </c>
      <c r="B27" s="210">
        <f t="shared" si="0"/>
        <v>9.6</v>
      </c>
      <c r="C27" s="211">
        <f t="shared" si="1"/>
        <v>0.8230336921349761</v>
      </c>
      <c r="D27" s="212">
        <f t="shared" si="2"/>
        <v>0.029200451087140256</v>
      </c>
      <c r="E27" s="213">
        <f t="shared" si="3"/>
        <v>0.49382021528098563</v>
      </c>
      <c r="F27" s="213">
        <f t="shared" si="4"/>
        <v>47.4369809880355</v>
      </c>
      <c r="G27" s="214">
        <f t="shared" si="5"/>
        <v>0.5158725121310109</v>
      </c>
      <c r="H27" s="215">
        <f t="shared" si="6"/>
        <v>0.015063710057681753</v>
      </c>
      <c r="I27" s="216">
        <f t="shared" si="7"/>
        <v>15.063710057681753</v>
      </c>
    </row>
    <row r="28" spans="1:9" ht="15">
      <c r="A28" s="209">
        <v>17</v>
      </c>
      <c r="B28" s="210">
        <f t="shared" si="0"/>
        <v>10.2</v>
      </c>
      <c r="C28" s="211">
        <f t="shared" si="1"/>
        <v>0.849977565924807</v>
      </c>
      <c r="D28" s="212">
        <f t="shared" si="2"/>
        <v>0.031872804362153374</v>
      </c>
      <c r="E28" s="213">
        <f t="shared" si="3"/>
        <v>0.5099865395548842</v>
      </c>
      <c r="F28" s="213">
        <f t="shared" si="4"/>
        <v>47.87666083428296</v>
      </c>
      <c r="G28" s="214">
        <f t="shared" si="5"/>
        <v>0.535265968490978</v>
      </c>
      <c r="H28" s="215">
        <f t="shared" si="6"/>
        <v>0.017060427495431494</v>
      </c>
      <c r="I28" s="216">
        <f t="shared" si="7"/>
        <v>17.060427495431494</v>
      </c>
    </row>
    <row r="29" spans="1:9" ht="15">
      <c r="A29" s="209">
        <v>18</v>
      </c>
      <c r="B29" s="210">
        <f t="shared" si="0"/>
        <v>10.8</v>
      </c>
      <c r="C29" s="211">
        <f t="shared" si="1"/>
        <v>0.8762980611683405</v>
      </c>
      <c r="D29" s="212">
        <f t="shared" si="2"/>
        <v>0.03460843077601479</v>
      </c>
      <c r="E29" s="213">
        <f t="shared" si="3"/>
        <v>0.5257788367010043</v>
      </c>
      <c r="F29" s="213">
        <f t="shared" si="4"/>
        <v>48.2921706606342</v>
      </c>
      <c r="G29" s="214">
        <f t="shared" si="5"/>
        <v>0.5540910406198108</v>
      </c>
      <c r="H29" s="215">
        <f t="shared" si="6"/>
        <v>0.01917622142290072</v>
      </c>
      <c r="I29" s="216">
        <f t="shared" si="7"/>
        <v>19.17622142290072</v>
      </c>
    </row>
    <row r="30" spans="1:9" ht="15">
      <c r="A30" s="209">
        <v>19</v>
      </c>
      <c r="B30" s="210">
        <f t="shared" si="0"/>
        <v>11.4</v>
      </c>
      <c r="C30" s="211">
        <f t="shared" si="1"/>
        <v>0.9020536235925248</v>
      </c>
      <c r="D30" s="212">
        <f t="shared" si="2"/>
        <v>0.03740404513440472</v>
      </c>
      <c r="E30" s="213">
        <f t="shared" si="3"/>
        <v>0.5412321741555148</v>
      </c>
      <c r="F30" s="213">
        <f t="shared" si="4"/>
        <v>48.68584962712394</v>
      </c>
      <c r="G30" s="214">
        <f t="shared" si="5"/>
        <v>0.5723810335042764</v>
      </c>
      <c r="H30" s="215">
        <f t="shared" si="6"/>
        <v>0.021409366011271174</v>
      </c>
      <c r="I30" s="216">
        <f t="shared" si="7"/>
        <v>21.409366011271175</v>
      </c>
    </row>
    <row r="31" spans="1:9" ht="15">
      <c r="A31" s="209">
        <v>20</v>
      </c>
      <c r="B31" s="210">
        <f t="shared" si="0"/>
        <v>12</v>
      </c>
      <c r="C31" s="211">
        <f t="shared" si="1"/>
        <v>0.9272952180016122</v>
      </c>
      <c r="D31" s="212">
        <f t="shared" si="2"/>
        <v>0.040256569620145094</v>
      </c>
      <c r="E31" s="213">
        <f t="shared" si="3"/>
        <v>0.5563771308009673</v>
      </c>
      <c r="F31" s="213">
        <f t="shared" si="4"/>
        <v>49.059694704955035</v>
      </c>
      <c r="G31" s="214">
        <f t="shared" si="5"/>
        <v>0.5901651851773352</v>
      </c>
      <c r="H31" s="215">
        <f t="shared" si="6"/>
        <v>0.023758025864477214</v>
      </c>
      <c r="I31" s="216">
        <f t="shared" si="7"/>
        <v>23.758025864477215</v>
      </c>
    </row>
    <row r="32" spans="1:9" ht="15">
      <c r="A32" s="209">
        <v>21</v>
      </c>
      <c r="B32" s="210">
        <f t="shared" si="0"/>
        <v>12.6</v>
      </c>
      <c r="C32" s="211">
        <f t="shared" si="1"/>
        <v>0.9520676361226456</v>
      </c>
      <c r="D32" s="212">
        <f t="shared" si="2"/>
        <v>0.043163107299016866</v>
      </c>
      <c r="E32" s="213">
        <f t="shared" si="3"/>
        <v>0.5712405816735873</v>
      </c>
      <c r="F32" s="213">
        <f t="shared" si="4"/>
        <v>49.41542487676033</v>
      </c>
      <c r="G32" s="214">
        <f t="shared" si="5"/>
        <v>0.6074693301620091</v>
      </c>
      <c r="H32" s="215">
        <f t="shared" si="6"/>
        <v>0.026220263878644703</v>
      </c>
      <c r="I32" s="216">
        <f t="shared" si="7"/>
        <v>26.2202638786447</v>
      </c>
    </row>
    <row r="33" spans="1:9" ht="15">
      <c r="A33" s="209">
        <v>22</v>
      </c>
      <c r="B33" s="210">
        <f t="shared" si="0"/>
        <v>13.2</v>
      </c>
      <c r="C33" s="211">
        <f t="shared" si="1"/>
        <v>0.9764105267938342</v>
      </c>
      <c r="D33" s="212">
        <f t="shared" si="2"/>
        <v>0.04612092001419379</v>
      </c>
      <c r="E33" s="213">
        <f t="shared" si="3"/>
        <v>0.5858463160763006</v>
      </c>
      <c r="F33" s="213">
        <f t="shared" si="4"/>
        <v>49.75453083628803</v>
      </c>
      <c r="G33" s="214">
        <f t="shared" si="5"/>
        <v>0.624316427434688</v>
      </c>
      <c r="H33" s="215">
        <f t="shared" si="6"/>
        <v>0.028794048013262463</v>
      </c>
      <c r="I33" s="216">
        <f t="shared" si="7"/>
        <v>28.79404801326246</v>
      </c>
    </row>
    <row r="34" spans="1:9" ht="15">
      <c r="A34" s="209">
        <v>23</v>
      </c>
      <c r="B34" s="210">
        <f t="shared" si="0"/>
        <v>13.8</v>
      </c>
      <c r="C34" s="211">
        <f t="shared" si="1"/>
        <v>1.0003592173949747</v>
      </c>
      <c r="D34" s="212">
        <f t="shared" si="2"/>
        <v>0.049127409763646136</v>
      </c>
      <c r="E34" s="213">
        <f t="shared" si="3"/>
        <v>0.6002155304369848</v>
      </c>
      <c r="F34" s="213">
        <f t="shared" si="4"/>
        <v>50.07831396464114</v>
      </c>
      <c r="G34" s="214">
        <f t="shared" si="5"/>
        <v>0.6407269854469365</v>
      </c>
      <c r="H34" s="215">
        <f t="shared" si="6"/>
        <v>0.03147725716067738</v>
      </c>
      <c r="I34" s="216">
        <f t="shared" si="7"/>
        <v>31.477257160677382</v>
      </c>
    </row>
    <row r="35" spans="1:9" ht="15">
      <c r="A35" s="209">
        <v>24</v>
      </c>
      <c r="B35" s="210">
        <f t="shared" si="0"/>
        <v>14.4</v>
      </c>
      <c r="C35" s="211">
        <f t="shared" si="1"/>
        <v>1.0239453760989525</v>
      </c>
      <c r="D35" s="212">
        <f t="shared" si="2"/>
        <v>0.05218010287330049</v>
      </c>
      <c r="E35" s="213">
        <f t="shared" si="3"/>
        <v>0.6143672256593715</v>
      </c>
      <c r="F35" s="213">
        <f t="shared" si="4"/>
        <v>50.387917256549684</v>
      </c>
      <c r="G35" s="214">
        <f t="shared" si="5"/>
        <v>0.6567194078505794</v>
      </c>
      <c r="H35" s="215">
        <f t="shared" si="6"/>
        <v>0.034267686260536216</v>
      </c>
      <c r="I35" s="216">
        <f t="shared" si="7"/>
        <v>34.267686260536216</v>
      </c>
    </row>
    <row r="36" spans="1:9" ht="15">
      <c r="A36" s="209">
        <v>25</v>
      </c>
      <c r="B36" s="210">
        <f t="shared" si="0"/>
        <v>15</v>
      </c>
      <c r="C36" s="211">
        <f t="shared" si="1"/>
        <v>1.0471975511965976</v>
      </c>
      <c r="D36" s="212">
        <f t="shared" si="2"/>
        <v>0.05527663643739405</v>
      </c>
      <c r="E36" s="213">
        <f t="shared" si="3"/>
        <v>0.6283185307179585</v>
      </c>
      <c r="F36" s="213">
        <f t="shared" si="4"/>
        <v>50.68435012109566</v>
      </c>
      <c r="G36" s="214">
        <f t="shared" si="5"/>
        <v>0.6723102773770178</v>
      </c>
      <c r="H36" s="215">
        <f t="shared" si="6"/>
        <v>0.03716305077569296</v>
      </c>
      <c r="I36" s="216">
        <f t="shared" si="7"/>
        <v>37.16305077569296</v>
      </c>
    </row>
    <row r="37" spans="1:9" ht="15">
      <c r="A37" s="209">
        <v>26</v>
      </c>
      <c r="B37" s="210">
        <f t="shared" si="0"/>
        <v>15.6</v>
      </c>
      <c r="C37" s="211">
        <f t="shared" si="1"/>
        <v>1.0701416143903084</v>
      </c>
      <c r="D37" s="212">
        <f t="shared" si="2"/>
        <v>0.05841474661445862</v>
      </c>
      <c r="E37" s="213">
        <f t="shared" si="3"/>
        <v>0.6420849686341851</v>
      </c>
      <c r="F37" s="213">
        <f t="shared" si="4"/>
        <v>50.968508463408945</v>
      </c>
      <c r="G37" s="214">
        <f t="shared" si="5"/>
        <v>0.6875145909331003</v>
      </c>
      <c r="H37" s="215">
        <f t="shared" si="6"/>
        <v>0.040160990623100225</v>
      </c>
      <c r="I37" s="216">
        <f t="shared" si="7"/>
        <v>40.160990623100226</v>
      </c>
    </row>
    <row r="38" spans="1:9" ht="15">
      <c r="A38" s="209">
        <v>27</v>
      </c>
      <c r="B38" s="210">
        <f t="shared" si="0"/>
        <v>16.2</v>
      </c>
      <c r="C38" s="211">
        <f t="shared" si="1"/>
        <v>1.0928011282759442</v>
      </c>
      <c r="D38" s="212">
        <f t="shared" si="2"/>
        <v>0.061592258454854304</v>
      </c>
      <c r="E38" s="213">
        <f t="shared" si="3"/>
        <v>0.6556806769655665</v>
      </c>
      <c r="F38" s="213">
        <f t="shared" si="4"/>
        <v>51.24119108970185</v>
      </c>
      <c r="G38" s="214">
        <f t="shared" si="5"/>
        <v>0.702345955817099</v>
      </c>
      <c r="H38" s="215">
        <f t="shared" si="6"/>
        <v>0.04325907363540844</v>
      </c>
      <c r="I38" s="216">
        <f t="shared" si="7"/>
        <v>43.25907363540844</v>
      </c>
    </row>
    <row r="39" spans="1:9" ht="15">
      <c r="A39" s="209">
        <v>28</v>
      </c>
      <c r="B39" s="210">
        <f t="shared" si="0"/>
        <v>16.8</v>
      </c>
      <c r="C39" s="211">
        <f t="shared" si="1"/>
        <v>1.1151976533990733</v>
      </c>
      <c r="D39" s="212">
        <f t="shared" si="2"/>
        <v>0.06480707700201707</v>
      </c>
      <c r="E39" s="213">
        <f t="shared" si="3"/>
        <v>0.6691185920394439</v>
      </c>
      <c r="F39" s="213">
        <f t="shared" si="4"/>
        <v>51.50311321800817</v>
      </c>
      <c r="G39" s="214">
        <f t="shared" si="5"/>
        <v>0.7168167546519275</v>
      </c>
      <c r="H39" s="215">
        <f t="shared" si="6"/>
        <v>0.04645479861506344</v>
      </c>
      <c r="I39" s="216">
        <f t="shared" si="7"/>
        <v>46.454798615063446</v>
      </c>
    </row>
    <row r="40" spans="1:9" ht="15">
      <c r="A40" s="209">
        <v>29</v>
      </c>
      <c r="B40" s="210">
        <f t="shared" si="0"/>
        <v>17.4</v>
      </c>
      <c r="C40" s="211">
        <f t="shared" si="1"/>
        <v>1.1373510067250105</v>
      </c>
      <c r="D40" s="212">
        <f t="shared" si="2"/>
        <v>0.06805717946032674</v>
      </c>
      <c r="E40" s="213">
        <f t="shared" si="3"/>
        <v>0.6824106040350063</v>
      </c>
      <c r="F40" s="213">
        <f t="shared" si="4"/>
        <v>51.75491768872681</v>
      </c>
      <c r="G40" s="214">
        <f t="shared" si="5"/>
        <v>0.7309382849264117</v>
      </c>
      <c r="H40" s="215">
        <f t="shared" si="6"/>
        <v>0.04974559803166024</v>
      </c>
      <c r="I40" s="216">
        <f t="shared" si="7"/>
        <v>49.745598031660236</v>
      </c>
    </row>
    <row r="41" spans="1:9" ht="15">
      <c r="A41" s="209">
        <v>30</v>
      </c>
      <c r="B41" s="210">
        <f t="shared" si="0"/>
        <v>18</v>
      </c>
      <c r="C41" s="211">
        <f t="shared" si="1"/>
        <v>1.1592794807274085</v>
      </c>
      <c r="D41" s="212">
        <f t="shared" si="2"/>
        <v>0.0713406082617847</v>
      </c>
      <c r="E41" s="213">
        <f t="shared" si="3"/>
        <v>0.6955676884364451</v>
      </c>
      <c r="F41" s="213">
        <f t="shared" si="4"/>
        <v>51.99718433097707</v>
      </c>
      <c r="G41" s="214">
        <f t="shared" si="5"/>
        <v>0.7447208777577231</v>
      </c>
      <c r="H41" s="215">
        <f t="shared" si="6"/>
        <v>0.05312884040448618</v>
      </c>
      <c r="I41" s="216">
        <f t="shared" si="7"/>
        <v>53.128840404486176</v>
      </c>
    </row>
    <row r="42" spans="1:9" ht="15">
      <c r="A42" s="209">
        <v>31</v>
      </c>
      <c r="B42" s="210">
        <f t="shared" si="0"/>
        <v>18.6</v>
      </c>
      <c r="C42" s="211">
        <f t="shared" si="1"/>
        <v>1.181000030320636</v>
      </c>
      <c r="D42" s="212">
        <f t="shared" si="2"/>
        <v>0.07465546489439537</v>
      </c>
      <c r="E42" s="213">
        <f t="shared" si="3"/>
        <v>0.7086000181923816</v>
      </c>
      <c r="F42" s="213">
        <f t="shared" si="4"/>
        <v>52.230437838266</v>
      </c>
      <c r="G42" s="214">
        <f t="shared" si="5"/>
        <v>0.7581739995205682</v>
      </c>
      <c r="H42" s="215">
        <f t="shared" si="6"/>
        <v>0.05660183240505111</v>
      </c>
      <c r="I42" s="216">
        <f t="shared" si="7"/>
        <v>56.601832405051105</v>
      </c>
    </row>
    <row r="43" spans="1:9" ht="15">
      <c r="A43" s="209">
        <v>32</v>
      </c>
      <c r="B43" s="210">
        <f t="shared" si="0"/>
        <v>19.2</v>
      </c>
      <c r="C43" s="211">
        <f t="shared" si="1"/>
        <v>1.2025284333582564</v>
      </c>
      <c r="D43" s="212">
        <f t="shared" si="2"/>
        <v>0.07799990437936502</v>
      </c>
      <c r="E43" s="213">
        <f t="shared" si="3"/>
        <v>0.7215170600149539</v>
      </c>
      <c r="F43" s="213">
        <f t="shared" si="4"/>
        <v>52.455154430036146</v>
      </c>
      <c r="G43" s="214">
        <f t="shared" si="5"/>
        <v>0.7713063392485231</v>
      </c>
      <c r="H43" s="215">
        <f t="shared" si="6"/>
        <v>0.06016182070858288</v>
      </c>
      <c r="I43" s="216">
        <f t="shared" si="7"/>
        <v>60.16182070858288</v>
      </c>
    </row>
    <row r="44" spans="1:9" ht="15">
      <c r="A44" s="209">
        <v>33</v>
      </c>
      <c r="B44" s="210">
        <f t="shared" si="0"/>
        <v>19.8</v>
      </c>
      <c r="C44" s="211">
        <f t="shared" si="1"/>
        <v>1.2238794292677349</v>
      </c>
      <c r="D44" s="212">
        <f t="shared" si="2"/>
        <v>0.08137213030349072</v>
      </c>
      <c r="E44" s="213">
        <f t="shared" si="3"/>
        <v>0.7343276575606409</v>
      </c>
      <c r="F44" s="213">
        <f t="shared" si="4"/>
        <v>52.67176751732681</v>
      </c>
      <c r="G44" s="214">
        <f t="shared" si="5"/>
        <v>0.7841258841410881</v>
      </c>
      <c r="H44" s="215">
        <f t="shared" si="6"/>
        <v>0.06380599361866848</v>
      </c>
      <c r="I44" s="216">
        <f t="shared" si="7"/>
        <v>63.80599361866848</v>
      </c>
    </row>
    <row r="45" spans="1:9" ht="15">
      <c r="A45" s="209">
        <v>34</v>
      </c>
      <c r="B45" s="210">
        <f t="shared" si="0"/>
        <v>20.4</v>
      </c>
      <c r="C45" s="211">
        <f t="shared" si="1"/>
        <v>1.2450668395002664</v>
      </c>
      <c r="D45" s="212">
        <f t="shared" si="2"/>
        <v>0.08477039032854254</v>
      </c>
      <c r="E45" s="213">
        <f t="shared" si="3"/>
        <v>0.7470401037001598</v>
      </c>
      <c r="F45" s="213">
        <f t="shared" si="4"/>
        <v>52.88067254612701</v>
      </c>
      <c r="G45" s="214">
        <f t="shared" si="5"/>
        <v>0.7966399850643322</v>
      </c>
      <c r="H45" s="215">
        <f t="shared" si="6"/>
        <v>0.06753148248522774</v>
      </c>
      <c r="I45" s="216">
        <f t="shared" si="7"/>
        <v>67.53148248522774</v>
      </c>
    </row>
    <row r="46" spans="1:9" ht="15">
      <c r="A46" s="209">
        <v>35</v>
      </c>
      <c r="B46" s="210">
        <f t="shared" si="0"/>
        <v>21</v>
      </c>
      <c r="C46" s="211">
        <f t="shared" si="1"/>
        <v>1.266103672779499</v>
      </c>
      <c r="D46" s="212">
        <f t="shared" si="2"/>
        <v>0.08819297211189737</v>
      </c>
      <c r="E46" s="213">
        <f t="shared" si="3"/>
        <v>0.7596622036676993</v>
      </c>
      <c r="F46" s="213">
        <f t="shared" si="4"/>
        <v>53.08223115750845</v>
      </c>
      <c r="G46" s="214">
        <f t="shared" si="5"/>
        <v>0.8088554135826829</v>
      </c>
      <c r="H46" s="215">
        <f t="shared" si="6"/>
        <v>0.07133536293265477</v>
      </c>
      <c r="I46" s="216">
        <f t="shared" si="7"/>
        <v>71.33536293265477</v>
      </c>
    </row>
    <row r="47" spans="1:9" ht="15">
      <c r="A47" s="209">
        <v>36</v>
      </c>
      <c r="B47" s="210">
        <f t="shared" si="0"/>
        <v>21.6</v>
      </c>
      <c r="C47" s="211">
        <f t="shared" si="1"/>
        <v>1.2870022175865687</v>
      </c>
      <c r="D47" s="212">
        <f t="shared" si="2"/>
        <v>0.09163819958279118</v>
      </c>
      <c r="E47" s="213">
        <f t="shared" si="3"/>
        <v>0.7722013305519412</v>
      </c>
      <c r="F47" s="213">
        <f t="shared" si="4"/>
        <v>53.276774776765464</v>
      </c>
      <c r="G47" s="214">
        <f t="shared" si="5"/>
        <v>0.8207784117818259</v>
      </c>
      <c r="H47" s="215">
        <f t="shared" si="6"/>
        <v>0.07521465591210932</v>
      </c>
      <c r="I47" s="216">
        <f t="shared" si="7"/>
        <v>75.21465591210932</v>
      </c>
    </row>
    <row r="48" spans="1:9" ht="15">
      <c r="A48" s="209">
        <v>37</v>
      </c>
      <c r="B48" s="210">
        <f t="shared" si="0"/>
        <v>22.2</v>
      </c>
      <c r="C48" s="211">
        <f t="shared" si="1"/>
        <v>1.3077741238864276</v>
      </c>
      <c r="D48" s="212">
        <f t="shared" si="2"/>
        <v>0.09510442952681722</v>
      </c>
      <c r="E48" s="213">
        <f t="shared" si="3"/>
        <v>0.7846644743318565</v>
      </c>
      <c r="F48" s="213">
        <f t="shared" si="4"/>
        <v>53.46460772270461</v>
      </c>
      <c r="G48" s="214">
        <f t="shared" si="5"/>
        <v>0.8324147359211345</v>
      </c>
      <c r="H48" s="215">
        <f t="shared" si="6"/>
        <v>0.0791663285894957</v>
      </c>
      <c r="I48" s="216">
        <f t="shared" si="7"/>
        <v>79.16632858949569</v>
      </c>
    </row>
    <row r="49" spans="1:9" ht="15">
      <c r="A49" s="209">
        <v>38</v>
      </c>
      <c r="B49" s="210">
        <f t="shared" si="0"/>
        <v>22.8</v>
      </c>
      <c r="C49" s="211">
        <f t="shared" si="1"/>
        <v>1.3284304757559333</v>
      </c>
      <c r="D49" s="212">
        <f t="shared" si="2"/>
        <v>0.09859004843807795</v>
      </c>
      <c r="E49" s="213">
        <f t="shared" si="3"/>
        <v>0.79705828545356</v>
      </c>
      <c r="F49" s="213">
        <f t="shared" si="4"/>
        <v>53.64600991155484</v>
      </c>
      <c r="G49" s="214">
        <f t="shared" si="5"/>
        <v>0.843769694775906</v>
      </c>
      <c r="H49" s="215">
        <f t="shared" si="6"/>
        <v>0.08318729507853882</v>
      </c>
      <c r="I49" s="216">
        <f t="shared" si="7"/>
        <v>83.18729507853882</v>
      </c>
    </row>
    <row r="50" spans="1:9" ht="15">
      <c r="A50" s="209">
        <v>39</v>
      </c>
      <c r="B50" s="210">
        <f t="shared" si="0"/>
        <v>23.4</v>
      </c>
      <c r="C50" s="211">
        <f t="shared" si="1"/>
        <v>1.348981856298102</v>
      </c>
      <c r="D50" s="212">
        <f t="shared" si="2"/>
        <v>0.10209346960398975</v>
      </c>
      <c r="E50" s="213">
        <f t="shared" si="3"/>
        <v>0.8093891137788611</v>
      </c>
      <c r="F50" s="213">
        <f t="shared" si="4"/>
        <v>53.82123921669383</v>
      </c>
      <c r="G50" s="214">
        <f t="shared" si="5"/>
        <v>0.8548481833855079</v>
      </c>
      <c r="H50" s="215">
        <f t="shared" si="6"/>
        <v>0.08727441702649422</v>
      </c>
      <c r="I50" s="216">
        <f t="shared" si="7"/>
        <v>87.27441702649422</v>
      </c>
    </row>
    <row r="51" spans="1:9" ht="15">
      <c r="A51" s="209">
        <v>40</v>
      </c>
      <c r="B51" s="210">
        <f t="shared" si="0"/>
        <v>24</v>
      </c>
      <c r="C51" s="211">
        <f t="shared" si="1"/>
        <v>1.3694384060045657</v>
      </c>
      <c r="D51" s="212">
        <f t="shared" si="2"/>
        <v>0.10561313039237201</v>
      </c>
      <c r="E51" s="213">
        <f t="shared" si="3"/>
        <v>0.8216630436027393</v>
      </c>
      <c r="F51" s="213">
        <f t="shared" si="4"/>
        <v>53.99053353474625</v>
      </c>
      <c r="G51" s="214">
        <f t="shared" si="5"/>
        <v>0.8656547128060491</v>
      </c>
      <c r="H51" s="215">
        <f t="shared" si="6"/>
        <v>0.09142450405835661</v>
      </c>
      <c r="I51" s="216">
        <f t="shared" si="7"/>
        <v>91.42450405835662</v>
      </c>
    </row>
    <row r="52" spans="1:9" ht="15">
      <c r="A52" s="209">
        <v>41</v>
      </c>
      <c r="B52" s="210">
        <f t="shared" si="0"/>
        <v>24.6</v>
      </c>
      <c r="C52" s="211">
        <f t="shared" si="1"/>
        <v>1.389809875548349</v>
      </c>
      <c r="D52" s="212">
        <f t="shared" si="2"/>
        <v>0.10914748971429551</v>
      </c>
      <c r="E52" s="213">
        <f t="shared" si="3"/>
        <v>0.8338859253290094</v>
      </c>
      <c r="F52" s="213">
        <f t="shared" si="4"/>
        <v>54.15411260002815</v>
      </c>
      <c r="G52" s="214">
        <f t="shared" si="5"/>
        <v>0.8761934363698635</v>
      </c>
      <c r="H52" s="215">
        <f t="shared" si="6"/>
        <v>0.09563431408391292</v>
      </c>
      <c r="I52" s="216">
        <f t="shared" si="7"/>
        <v>95.63431408391291</v>
      </c>
    </row>
    <row r="53" spans="1:9" ht="15">
      <c r="A53" s="209">
        <v>42</v>
      </c>
      <c r="B53" s="210">
        <f t="shared" si="0"/>
        <v>25.2</v>
      </c>
      <c r="C53" s="211">
        <f t="shared" si="1"/>
        <v>1.410105673842986</v>
      </c>
      <c r="D53" s="212">
        <f t="shared" si="2"/>
        <v>0.11269502563936921</v>
      </c>
      <c r="E53" s="213">
        <f t="shared" si="3"/>
        <v>0.8460634043057916</v>
      </c>
      <c r="F53" s="213">
        <f t="shared" si="4"/>
        <v>54.3121795823494</v>
      </c>
      <c r="G53" s="214">
        <f t="shared" si="5"/>
        <v>0.8864681728745863</v>
      </c>
      <c r="H53" s="215">
        <f t="shared" si="6"/>
        <v>0.0999005534705863</v>
      </c>
      <c r="I53" s="216">
        <f t="shared" si="7"/>
        <v>99.90055347058629</v>
      </c>
    </row>
    <row r="54" spans="1:9" ht="15">
      <c r="A54" s="209">
        <v>43</v>
      </c>
      <c r="B54" s="210">
        <f t="shared" si="0"/>
        <v>25.8</v>
      </c>
      <c r="C54" s="211">
        <f t="shared" si="1"/>
        <v>1.4303349120850408</v>
      </c>
      <c r="D54" s="212">
        <f t="shared" si="2"/>
        <v>0.11625423314281123</v>
      </c>
      <c r="E54" s="213">
        <f t="shared" si="3"/>
        <v>0.8582009472510245</v>
      </c>
      <c r="F54" s="213">
        <f t="shared" si="4"/>
        <v>54.46492249750418</v>
      </c>
      <c r="G54" s="214">
        <f t="shared" si="5"/>
        <v>0.8964824270585865</v>
      </c>
      <c r="H54" s="215">
        <f t="shared" si="6"/>
        <v>0.10421987708370219</v>
      </c>
      <c r="I54" s="216">
        <f t="shared" si="7"/>
        <v>104.21987708370219</v>
      </c>
    </row>
    <row r="55" spans="1:9" ht="15">
      <c r="A55" s="209">
        <v>44</v>
      </c>
      <c r="B55" s="210">
        <f t="shared" si="0"/>
        <v>26.4</v>
      </c>
      <c r="C55" s="211">
        <f t="shared" si="1"/>
        <v>1.4505064444001083</v>
      </c>
      <c r="D55" s="212">
        <f t="shared" si="2"/>
        <v>0.11982362196587362</v>
      </c>
      <c r="E55" s="213">
        <f t="shared" si="3"/>
        <v>0.870303866640065</v>
      </c>
      <c r="F55" s="213">
        <f t="shared" si="4"/>
        <v>54.61251545511821</v>
      </c>
      <c r="G55" s="214">
        <f t="shared" si="5"/>
        <v>0.9062394076643276</v>
      </c>
      <c r="H55" s="215">
        <f t="shared" si="6"/>
        <v>0.10858888819454764</v>
      </c>
      <c r="I55" s="216">
        <f t="shared" si="7"/>
        <v>108.58888819454764</v>
      </c>
    </row>
    <row r="56" spans="1:9" ht="15">
      <c r="A56" s="209">
        <v>45</v>
      </c>
      <c r="B56" s="210">
        <f t="shared" si="0"/>
        <v>27</v>
      </c>
      <c r="C56" s="211">
        <f t="shared" si="1"/>
        <v>1.4706289056333368</v>
      </c>
      <c r="D56" s="212">
        <f t="shared" si="2"/>
        <v>0.12340171457304074</v>
      </c>
      <c r="E56" s="213">
        <f t="shared" si="3"/>
        <v>0.8823773433800021</v>
      </c>
      <c r="F56" s="213">
        <f t="shared" si="4"/>
        <v>54.75511976467564</v>
      </c>
      <c r="G56" s="214">
        <f t="shared" si="5"/>
        <v>0.9157420433447933</v>
      </c>
      <c r="H56" s="215">
        <f t="shared" si="6"/>
        <v>0.11300413825536727</v>
      </c>
      <c r="I56" s="216">
        <f t="shared" si="7"/>
        <v>113.00413825536727</v>
      </c>
    </row>
    <row r="57" spans="1:9" ht="15">
      <c r="A57" s="209">
        <v>46</v>
      </c>
      <c r="B57" s="210">
        <f t="shared" si="0"/>
        <v>27.6</v>
      </c>
      <c r="C57" s="211">
        <f t="shared" si="1"/>
        <v>1.4907107467612377</v>
      </c>
      <c r="D57" s="212">
        <f t="shared" si="2"/>
        <v>0.1269870441909502</v>
      </c>
      <c r="E57" s="213">
        <f t="shared" si="3"/>
        <v>0.8944264480567427</v>
      </c>
      <c r="F57" s="213">
        <f t="shared" si="4"/>
        <v>54.89288491735958</v>
      </c>
      <c r="G57" s="214">
        <f t="shared" si="5"/>
        <v>0.9249929966287416</v>
      </c>
      <c r="H57" s="215">
        <f t="shared" si="6"/>
        <v>0.11746212653921345</v>
      </c>
      <c r="I57" s="216">
        <f t="shared" si="7"/>
        <v>117.46212653921346</v>
      </c>
    </row>
    <row r="58" spans="1:9" ht="15">
      <c r="A58" s="209">
        <v>47</v>
      </c>
      <c r="B58" s="210">
        <f t="shared" si="0"/>
        <v>28.2</v>
      </c>
      <c r="C58" s="211">
        <f t="shared" si="1"/>
        <v>1.5107602683496182</v>
      </c>
      <c r="D58" s="212">
        <f t="shared" si="2"/>
        <v>0.13057815291524755</v>
      </c>
      <c r="E58" s="213">
        <f t="shared" si="3"/>
        <v>0.9064561610097709</v>
      </c>
      <c r="F58" s="213">
        <f t="shared" si="4"/>
        <v>55.025949458681865</v>
      </c>
      <c r="G58" s="214">
        <f t="shared" si="5"/>
        <v>0.9339946761269442</v>
      </c>
      <c r="H58" s="215">
        <f t="shared" si="6"/>
        <v>0.12195929964133123</v>
      </c>
      <c r="I58" s="216">
        <f t="shared" si="7"/>
        <v>121.95929964133123</v>
      </c>
    </row>
    <row r="59" spans="1:9" ht="15">
      <c r="A59" s="209">
        <v>48</v>
      </c>
      <c r="B59" s="210">
        <f t="shared" si="0"/>
        <v>28.8</v>
      </c>
      <c r="C59" s="211">
        <f t="shared" si="1"/>
        <v>1.5307856524409076</v>
      </c>
      <c r="D59" s="212">
        <f t="shared" si="2"/>
        <v>0.1341735898726042</v>
      </c>
      <c r="E59" s="213">
        <f t="shared" si="3"/>
        <v>0.9184713914645445</v>
      </c>
      <c r="F59" s="213">
        <f t="shared" si="4"/>
        <v>55.154441764649924</v>
      </c>
      <c r="G59" s="214">
        <f t="shared" si="5"/>
        <v>0.9427492471325705</v>
      </c>
      <c r="H59" s="215">
        <f t="shared" si="6"/>
        <v>0.1264920508374719</v>
      </c>
      <c r="I59" s="216">
        <f t="shared" si="7"/>
        <v>126.4920508374719</v>
      </c>
    </row>
    <row r="60" spans="1:9" ht="15">
      <c r="A60" s="209">
        <v>49</v>
      </c>
      <c r="B60" s="210">
        <f t="shared" si="0"/>
        <v>29.4</v>
      </c>
      <c r="C60" s="211">
        <f t="shared" si="1"/>
        <v>1.550794993221506</v>
      </c>
      <c r="D60" s="212">
        <f t="shared" si="2"/>
        <v>0.1377719094259427</v>
      </c>
      <c r="E60" s="213">
        <f t="shared" si="3"/>
        <v>0.9304769959329036</v>
      </c>
      <c r="F60" s="213">
        <f t="shared" si="4"/>
        <v>55.278480732341606</v>
      </c>
      <c r="G60" s="214">
        <f t="shared" si="5"/>
        <v>0.9512586407436852</v>
      </c>
      <c r="H60" s="215">
        <f t="shared" si="6"/>
        <v>0.13105671929318435</v>
      </c>
      <c r="I60" s="216">
        <f t="shared" si="7"/>
        <v>131.05671929318436</v>
      </c>
    </row>
    <row r="61" spans="1:9" ht="15">
      <c r="A61" s="209">
        <v>50</v>
      </c>
      <c r="B61" s="210">
        <f t="shared" si="0"/>
        <v>30</v>
      </c>
      <c r="C61" s="211">
        <f t="shared" si="1"/>
        <v>1.5707963267948966</v>
      </c>
      <c r="D61" s="212">
        <f t="shared" si="2"/>
        <v>0.1413716694115407</v>
      </c>
      <c r="E61" s="213">
        <f t="shared" si="3"/>
        <v>0.9424777960769379</v>
      </c>
      <c r="F61" s="213">
        <f t="shared" si="4"/>
        <v>55.39817639416825</v>
      </c>
      <c r="G61" s="214">
        <f t="shared" si="5"/>
        <v>0.9595245616136224</v>
      </c>
      <c r="H61" s="215">
        <f t="shared" si="6"/>
        <v>0.13564958911669453</v>
      </c>
      <c r="I61" s="216">
        <f t="shared" si="7"/>
        <v>135.64958911669453</v>
      </c>
    </row>
    <row r="62" spans="1:9" ht="15">
      <c r="A62" s="209">
        <v>51</v>
      </c>
      <c r="B62" s="210">
        <f t="shared" si="0"/>
        <v>30.6</v>
      </c>
      <c r="C62" s="211">
        <f t="shared" si="1"/>
        <v>1.5907976603682872</v>
      </c>
      <c r="D62" s="212">
        <f t="shared" si="2"/>
        <v>0.14497142939713864</v>
      </c>
      <c r="E62" s="213">
        <f t="shared" si="3"/>
        <v>0.9544785962209723</v>
      </c>
      <c r="F62" s="213">
        <f t="shared" si="4"/>
        <v>55.513630463750545</v>
      </c>
      <c r="G62" s="214">
        <f t="shared" si="5"/>
        <v>0.9675484944152233</v>
      </c>
      <c r="H62" s="215">
        <f t="shared" si="6"/>
        <v>0.14026688824642433</v>
      </c>
      <c r="I62" s="216">
        <f t="shared" si="7"/>
        <v>140.26688824642434</v>
      </c>
    </row>
    <row r="63" spans="1:9" ht="15">
      <c r="A63" s="209">
        <v>52</v>
      </c>
      <c r="B63" s="210">
        <f t="shared" si="0"/>
        <v>31.2</v>
      </c>
      <c r="C63" s="211">
        <f t="shared" si="1"/>
        <v>1.6108070011488855</v>
      </c>
      <c r="D63" s="212">
        <f t="shared" si="2"/>
        <v>0.14856974895047717</v>
      </c>
      <c r="E63" s="213">
        <f t="shared" si="3"/>
        <v>0.9664842006893313</v>
      </c>
      <c r="F63" s="213">
        <f t="shared" si="4"/>
        <v>55.6249368201679</v>
      </c>
      <c r="G63" s="214">
        <f t="shared" si="5"/>
        <v>0.9753317090870195</v>
      </c>
      <c r="H63" s="215">
        <f t="shared" si="6"/>
        <v>0.14490478716249833</v>
      </c>
      <c r="I63" s="216">
        <f t="shared" si="7"/>
        <v>144.90478716249834</v>
      </c>
    </row>
    <row r="64" spans="1:9" ht="15">
      <c r="A64" s="209">
        <v>53</v>
      </c>
      <c r="B64" s="210">
        <f t="shared" si="0"/>
        <v>31.8</v>
      </c>
      <c r="C64" s="211">
        <f t="shared" si="1"/>
        <v>1.630832385240175</v>
      </c>
      <c r="D64" s="212">
        <f t="shared" si="2"/>
        <v>0.15216518590783382</v>
      </c>
      <c r="E64" s="213">
        <f t="shared" si="3"/>
        <v>0.9784994311441049</v>
      </c>
      <c r="F64" s="213">
        <f t="shared" si="4"/>
        <v>55.73218193633586</v>
      </c>
      <c r="G64" s="214">
        <f t="shared" si="5"/>
        <v>0.9828752649129451</v>
      </c>
      <c r="H64" s="215">
        <f t="shared" si="6"/>
        <v>0.1495593974096897</v>
      </c>
      <c r="I64" s="216">
        <f t="shared" si="7"/>
        <v>149.55939740968972</v>
      </c>
    </row>
    <row r="65" spans="1:9" ht="15">
      <c r="A65" s="209">
        <v>54</v>
      </c>
      <c r="B65" s="210">
        <f t="shared" si="0"/>
        <v>32.4</v>
      </c>
      <c r="C65" s="211">
        <f t="shared" si="1"/>
        <v>1.6508819068285554</v>
      </c>
      <c r="D65" s="212">
        <f t="shared" si="2"/>
        <v>0.1557562946321312</v>
      </c>
      <c r="E65" s="213">
        <f t="shared" si="3"/>
        <v>0.9905291440971332</v>
      </c>
      <c r="F65" s="213">
        <f t="shared" si="4"/>
        <v>55.83544525638811</v>
      </c>
      <c r="G65" s="214">
        <f t="shared" si="5"/>
        <v>0.9901800134716886</v>
      </c>
      <c r="H65" s="215">
        <f t="shared" si="6"/>
        <v>0.15422676991714396</v>
      </c>
      <c r="I65" s="216">
        <f t="shared" si="7"/>
        <v>154.22676991714397</v>
      </c>
    </row>
    <row r="66" spans="1:9" ht="15">
      <c r="A66" s="209">
        <v>55</v>
      </c>
      <c r="B66" s="210">
        <f t="shared" si="0"/>
        <v>33</v>
      </c>
      <c r="C66" s="211">
        <f t="shared" si="1"/>
        <v>1.6709637479564563</v>
      </c>
      <c r="D66" s="212">
        <f t="shared" si="2"/>
        <v>0.15934162425004064</v>
      </c>
      <c r="E66" s="213">
        <f t="shared" si="3"/>
        <v>1.0025782487738737</v>
      </c>
      <c r="F66" s="213">
        <f t="shared" si="4"/>
        <v>55.93479952616656</v>
      </c>
      <c r="G66" s="214">
        <f t="shared" si="5"/>
        <v>0.9972466004769314</v>
      </c>
      <c r="H66" s="215">
        <f t="shared" si="6"/>
        <v>0.1589028930978256</v>
      </c>
      <c r="I66" s="216">
        <f t="shared" si="7"/>
        <v>158.9028930978256</v>
      </c>
    </row>
    <row r="67" spans="1:9" ht="15">
      <c r="A67" s="209">
        <v>56</v>
      </c>
      <c r="B67" s="210">
        <f t="shared" si="0"/>
        <v>33.6</v>
      </c>
      <c r="C67" s="211">
        <f t="shared" si="1"/>
        <v>1.6910862091896848</v>
      </c>
      <c r="D67" s="212">
        <f t="shared" si="2"/>
        <v>0.16291971685720774</v>
      </c>
      <c r="E67" s="213">
        <f t="shared" si="3"/>
        <v>1.0146517255138108</v>
      </c>
      <c r="F67" s="213">
        <f t="shared" si="4"/>
        <v>56.03031108023284</v>
      </c>
      <c r="G67" s="214">
        <f t="shared" si="5"/>
        <v>1.004075466515139</v>
      </c>
      <c r="H67" s="215">
        <f t="shared" si="6"/>
        <v>0.16358369070791523</v>
      </c>
      <c r="I67" s="216">
        <f t="shared" si="7"/>
        <v>163.58369070791522</v>
      </c>
    </row>
    <row r="68" spans="1:9" ht="15">
      <c r="A68" s="209">
        <v>57</v>
      </c>
      <c r="B68" s="210">
        <f t="shared" si="0"/>
        <v>34.2</v>
      </c>
      <c r="C68" s="211">
        <f t="shared" si="1"/>
        <v>1.7112577415047525</v>
      </c>
      <c r="D68" s="212">
        <f t="shared" si="2"/>
        <v>0.16648910568027017</v>
      </c>
      <c r="E68" s="213">
        <f t="shared" si="3"/>
        <v>1.0267546449028515</v>
      </c>
      <c r="F68" s="213">
        <f t="shared" si="4"/>
        <v>56.12204008819117</v>
      </c>
      <c r="G68" s="214">
        <f t="shared" si="5"/>
        <v>1.010666846672894</v>
      </c>
      <c r="H68" s="215">
        <f t="shared" si="6"/>
        <v>0.16826501944326888</v>
      </c>
      <c r="I68" s="216">
        <f t="shared" si="7"/>
        <v>168.26501944326887</v>
      </c>
    </row>
    <row r="69" spans="1:9" ht="15">
      <c r="A69" s="209">
        <v>58</v>
      </c>
      <c r="B69" s="210">
        <f t="shared" si="0"/>
        <v>34.8</v>
      </c>
      <c r="C69" s="211">
        <f t="shared" si="1"/>
        <v>1.731486979746807</v>
      </c>
      <c r="D69" s="212">
        <f t="shared" si="2"/>
        <v>0.17004831318371216</v>
      </c>
      <c r="E69" s="213">
        <f t="shared" si="3"/>
        <v>1.0388921878480841</v>
      </c>
      <c r="F69" s="213">
        <f t="shared" si="4"/>
        <v>56.2100407625384</v>
      </c>
      <c r="G69" s="214">
        <f t="shared" si="5"/>
        <v>1.0170207690306374</v>
      </c>
      <c r="H69" s="215">
        <f t="shared" si="6"/>
        <v>0.17294266624646162</v>
      </c>
      <c r="I69" s="216">
        <f t="shared" si="7"/>
        <v>172.9426662464616</v>
      </c>
    </row>
    <row r="70" spans="1:9" ht="15">
      <c r="A70" s="209">
        <v>59</v>
      </c>
      <c r="B70" s="210">
        <f t="shared" si="0"/>
        <v>35.4</v>
      </c>
      <c r="C70" s="211">
        <f t="shared" si="1"/>
        <v>1.751782778041444</v>
      </c>
      <c r="D70" s="212">
        <f t="shared" si="2"/>
        <v>0.17359584910878584</v>
      </c>
      <c r="E70" s="213">
        <f t="shared" si="3"/>
        <v>1.0510696668248665</v>
      </c>
      <c r="F70" s="213">
        <f t="shared" si="4"/>
        <v>56.29436152971926</v>
      </c>
      <c r="G70" s="214">
        <f t="shared" si="5"/>
        <v>1.0231370519837049</v>
      </c>
      <c r="H70" s="215">
        <f t="shared" si="6"/>
        <v>0.1776123452937712</v>
      </c>
      <c r="I70" s="216">
        <f t="shared" si="7"/>
        <v>177.6123452937712</v>
      </c>
    </row>
    <row r="71" spans="1:9" ht="15">
      <c r="A71" s="209">
        <v>60</v>
      </c>
      <c r="B71" s="210">
        <f t="shared" si="0"/>
        <v>36</v>
      </c>
      <c r="C71" s="211">
        <f t="shared" si="1"/>
        <v>1.7721542475852274</v>
      </c>
      <c r="D71" s="212">
        <f t="shared" si="2"/>
        <v>0.17713020843070937</v>
      </c>
      <c r="E71" s="213">
        <f t="shared" si="3"/>
        <v>1.0632925485511364</v>
      </c>
      <c r="F71" s="213">
        <f t="shared" si="4"/>
        <v>56.37504516554915</v>
      </c>
      <c r="G71" s="214">
        <f t="shared" si="5"/>
        <v>1.0290153003343234</v>
      </c>
      <c r="H71" s="215">
        <f t="shared" si="6"/>
        <v>0.18226969462660772</v>
      </c>
      <c r="I71" s="216">
        <f t="shared" si="7"/>
        <v>182.26969462660773</v>
      </c>
    </row>
    <row r="72" spans="1:9" ht="15">
      <c r="A72" s="209">
        <v>61</v>
      </c>
      <c r="B72" s="210">
        <f t="shared" si="0"/>
        <v>36.6</v>
      </c>
      <c r="C72" s="211">
        <f t="shared" si="1"/>
        <v>1.7926107972916911</v>
      </c>
      <c r="D72" s="212">
        <f t="shared" si="2"/>
        <v>0.1806498692190916</v>
      </c>
      <c r="E72" s="213">
        <f t="shared" si="3"/>
        <v>1.0755664783750147</v>
      </c>
      <c r="F72" s="213">
        <f t="shared" si="4"/>
        <v>56.45212889565955</v>
      </c>
      <c r="G72" s="214">
        <f t="shared" si="5"/>
        <v>1.0346549000791982</v>
      </c>
      <c r="H72" s="215">
        <f t="shared" si="6"/>
        <v>0.18691027238619945</v>
      </c>
      <c r="I72" s="216">
        <f t="shared" si="7"/>
        <v>186.91027238619944</v>
      </c>
    </row>
    <row r="73" spans="1:9" ht="15">
      <c r="A73" s="209">
        <v>62</v>
      </c>
      <c r="B73" s="210">
        <f t="shared" si="0"/>
        <v>37.2</v>
      </c>
      <c r="C73" s="211">
        <f t="shared" si="1"/>
        <v>1.8131621778338598</v>
      </c>
      <c r="D73" s="212">
        <f t="shared" si="2"/>
        <v>0.18415329038500342</v>
      </c>
      <c r="E73" s="213">
        <f t="shared" si="3"/>
        <v>1.087897306700316</v>
      </c>
      <c r="F73" s="213">
        <f t="shared" si="4"/>
        <v>56.52564446111053</v>
      </c>
      <c r="G73" s="214">
        <f t="shared" si="5"/>
        <v>1.040055011796007</v>
      </c>
      <c r="H73" s="215">
        <f t="shared" si="6"/>
        <v>0.19152955260364823</v>
      </c>
      <c r="I73" s="216">
        <f t="shared" si="7"/>
        <v>191.52955260364823</v>
      </c>
    </row>
    <row r="74" spans="1:9" ht="15">
      <c r="A74" s="209">
        <v>63</v>
      </c>
      <c r="B74" s="210">
        <f t="shared" si="0"/>
        <v>37.8</v>
      </c>
      <c r="C74" s="211">
        <f t="shared" si="1"/>
        <v>1.8338185297033653</v>
      </c>
      <c r="D74" s="212">
        <f t="shared" si="2"/>
        <v>0.1876389092962641</v>
      </c>
      <c r="E74" s="213">
        <f t="shared" si="3"/>
        <v>1.1002911178220192</v>
      </c>
      <c r="F74" s="213">
        <f t="shared" si="4"/>
        <v>56.59561814878444</v>
      </c>
      <c r="G74" s="214">
        <f t="shared" si="5"/>
        <v>1.0452145625077196</v>
      </c>
      <c r="H74" s="215">
        <f t="shared" si="6"/>
        <v>0.19612292048952035</v>
      </c>
      <c r="I74" s="216">
        <f t="shared" si="7"/>
        <v>196.12292048952034</v>
      </c>
    </row>
    <row r="75" spans="1:9" ht="15">
      <c r="A75" s="209">
        <v>64</v>
      </c>
      <c r="B75" s="210">
        <f t="shared" si="0"/>
        <v>38.4</v>
      </c>
      <c r="C75" s="211">
        <f t="shared" si="1"/>
        <v>1.8545904360032244</v>
      </c>
      <c r="D75" s="212">
        <f t="shared" si="2"/>
        <v>0.19110513924029018</v>
      </c>
      <c r="E75" s="213">
        <f t="shared" si="3"/>
        <v>1.1127542616019346</v>
      </c>
      <c r="F75" s="213">
        <f t="shared" si="4"/>
        <v>56.66207078561072</v>
      </c>
      <c r="G75" s="214">
        <f t="shared" si="5"/>
        <v>1.050132235875459</v>
      </c>
      <c r="H75" s="215">
        <f t="shared" si="6"/>
        <v>0.20068566715769684</v>
      </c>
      <c r="I75" s="216">
        <f t="shared" si="7"/>
        <v>200.68566715769683</v>
      </c>
    </row>
    <row r="76" spans="1:9" ht="15">
      <c r="A76" s="209">
        <v>65</v>
      </c>
      <c r="B76" s="210">
        <f aca="true" t="shared" si="8" ref="B76:B109">A76*$B$111/100</f>
        <v>39</v>
      </c>
      <c r="C76" s="211">
        <f t="shared" si="1"/>
        <v>1.8754889808102941</v>
      </c>
      <c r="D76" s="212">
        <f t="shared" si="2"/>
        <v>0.19455036671118398</v>
      </c>
      <c r="E76" s="213">
        <f t="shared" si="3"/>
        <v>1.1252933884861764</v>
      </c>
      <c r="F76" s="213">
        <f t="shared" si="4"/>
        <v>56.72501769505508</v>
      </c>
      <c r="G76" s="214">
        <f t="shared" si="5"/>
        <v>1.054806460537489</v>
      </c>
      <c r="H76" s="215">
        <f t="shared" si="6"/>
        <v>0.20521298370689448</v>
      </c>
      <c r="I76" s="216">
        <f t="shared" si="7"/>
        <v>205.21298370689448</v>
      </c>
    </row>
    <row r="77" spans="1:9" ht="15">
      <c r="A77" s="209">
        <v>66</v>
      </c>
      <c r="B77" s="210">
        <f t="shared" si="8"/>
        <v>39.6</v>
      </c>
      <c r="C77" s="211">
        <f aca="true" t="shared" si="9" ref="C77:C111">ACOS(($B$61-B77)/$B$61)</f>
        <v>1.8965258140895267</v>
      </c>
      <c r="D77" s="212">
        <f aca="true" t="shared" si="10" ref="D77:D111">$G$7*$G$7*C77-$G$7*$G$7*SIN(C77)*COS(C77)</f>
        <v>0.1979729484945388</v>
      </c>
      <c r="E77" s="213">
        <f aca="true" t="shared" si="11" ref="E77:E111">2*$G$7*C77</f>
        <v>1.137915488453716</v>
      </c>
      <c r="F77" s="213">
        <f aca="true" t="shared" si="12" ref="F77:F111">$D$8*POWER(D77/E77,1/6)</f>
        <v>56.78446861361522</v>
      </c>
      <c r="G77" s="214">
        <f aca="true" t="shared" si="13" ref="G77:G111">F77*SQRT(D77*$G$8/E77)</f>
        <v>1.0592353963726198</v>
      </c>
      <c r="H77" s="215">
        <f aca="true" t="shared" si="14" ref="H77:H111">G77*D77</f>
        <v>0.20969995456966906</v>
      </c>
      <c r="I77" s="216">
        <f aca="true" t="shared" si="15" ref="I77:I111">H77*1000</f>
        <v>209.69995456966905</v>
      </c>
    </row>
    <row r="78" spans="1:9" ht="15">
      <c r="A78" s="209">
        <v>67</v>
      </c>
      <c r="B78" s="210">
        <f t="shared" si="8"/>
        <v>40.2</v>
      </c>
      <c r="C78" s="211">
        <f t="shared" si="9"/>
        <v>1.9177132243220583</v>
      </c>
      <c r="D78" s="212">
        <f t="shared" si="10"/>
        <v>0.20137120851959062</v>
      </c>
      <c r="E78" s="213">
        <f t="shared" si="11"/>
        <v>1.1506279345932349</v>
      </c>
      <c r="F78" s="213">
        <f t="shared" si="12"/>
        <v>56.84042756427523</v>
      </c>
      <c r="G78" s="214">
        <f t="shared" si="13"/>
        <v>1.06341691841923</v>
      </c>
      <c r="H78" s="215">
        <f t="shared" si="14"/>
        <v>0.21414155002225924</v>
      </c>
      <c r="I78" s="216">
        <f t="shared" si="15"/>
        <v>214.14155002225922</v>
      </c>
    </row>
    <row r="79" spans="1:9" ht="15">
      <c r="A79" s="209">
        <v>68</v>
      </c>
      <c r="B79" s="210">
        <f t="shared" si="8"/>
        <v>40.8</v>
      </c>
      <c r="C79" s="211">
        <f t="shared" si="9"/>
        <v>1.9390642202315365</v>
      </c>
      <c r="D79" s="212">
        <f t="shared" si="10"/>
        <v>0.2047434344437163</v>
      </c>
      <c r="E79" s="213">
        <f t="shared" si="11"/>
        <v>1.1634385321389218</v>
      </c>
      <c r="F79" s="213">
        <f t="shared" si="12"/>
        <v>56.89289268294829</v>
      </c>
      <c r="G79" s="214">
        <f t="shared" si="13"/>
        <v>1.0673485981241093</v>
      </c>
      <c r="H79" s="215">
        <f t="shared" si="14"/>
        <v>0.21853261772861607</v>
      </c>
      <c r="I79" s="216">
        <f t="shared" si="15"/>
        <v>218.53261772861606</v>
      </c>
    </row>
    <row r="80" spans="1:9" ht="15">
      <c r="A80" s="209">
        <v>69</v>
      </c>
      <c r="B80" s="210">
        <f t="shared" si="8"/>
        <v>41.4</v>
      </c>
      <c r="C80" s="211">
        <f t="shared" si="9"/>
        <v>1.960592623269157</v>
      </c>
      <c r="D80" s="212">
        <f t="shared" si="10"/>
        <v>0.208087873928686</v>
      </c>
      <c r="E80" s="213">
        <f t="shared" si="11"/>
        <v>1.1763555739614941</v>
      </c>
      <c r="F80" s="213">
        <f t="shared" si="12"/>
        <v>56.941855992842164</v>
      </c>
      <c r="G80" s="214">
        <f t="shared" si="13"/>
        <v>1.0710276815257758</v>
      </c>
      <c r="H80" s="215">
        <f t="shared" si="14"/>
        <v>0.22286787316746848</v>
      </c>
      <c r="I80" s="216">
        <f t="shared" si="15"/>
        <v>222.86787316746847</v>
      </c>
    </row>
    <row r="81" spans="1:9" ht="15">
      <c r="A81" s="209">
        <v>70</v>
      </c>
      <c r="B81" s="210">
        <f t="shared" si="8"/>
        <v>42</v>
      </c>
      <c r="C81" s="211">
        <f t="shared" si="9"/>
        <v>1.9823131728623846</v>
      </c>
      <c r="D81" s="212">
        <f t="shared" si="10"/>
        <v>0.21140273056129666</v>
      </c>
      <c r="E81" s="213">
        <f t="shared" si="11"/>
        <v>1.1893879037174306</v>
      </c>
      <c r="F81" s="213">
        <f t="shared" si="12"/>
        <v>56.98730312036292</v>
      </c>
      <c r="G81" s="214">
        <f t="shared" si="13"/>
        <v>1.0744510638913138</v>
      </c>
      <c r="H81" s="215">
        <f t="shared" si="14"/>
        <v>0.22714188876111396</v>
      </c>
      <c r="I81" s="216">
        <f t="shared" si="15"/>
        <v>227.14188876111396</v>
      </c>
    </row>
    <row r="82" spans="1:9" ht="15">
      <c r="A82" s="209">
        <v>71</v>
      </c>
      <c r="B82" s="210">
        <f t="shared" si="8"/>
        <v>42.6</v>
      </c>
      <c r="C82" s="211">
        <f t="shared" si="9"/>
        <v>2.0042416468647826</v>
      </c>
      <c r="D82" s="212">
        <f t="shared" si="10"/>
        <v>0.21468615936275465</v>
      </c>
      <c r="E82" s="213">
        <f t="shared" si="11"/>
        <v>1.2025449881188695</v>
      </c>
      <c r="F82" s="213">
        <f t="shared" si="12"/>
        <v>57.02921294455984</v>
      </c>
      <c r="G82" s="214">
        <f t="shared" si="13"/>
        <v>1.0776152602195508</v>
      </c>
      <c r="H82" s="215">
        <f t="shared" si="14"/>
        <v>0.2313490814872308</v>
      </c>
      <c r="I82" s="216">
        <f t="shared" si="15"/>
        <v>231.3490814872308</v>
      </c>
    </row>
    <row r="83" spans="1:9" ht="15">
      <c r="A83" s="209">
        <v>72</v>
      </c>
      <c r="B83" s="210">
        <f t="shared" si="8"/>
        <v>43.2</v>
      </c>
      <c r="C83" s="211">
        <f t="shared" si="9"/>
        <v>2.0263950001907203</v>
      </c>
      <c r="D83" s="212">
        <f t="shared" si="10"/>
        <v>0.21793626182106438</v>
      </c>
      <c r="E83" s="213">
        <f t="shared" si="11"/>
        <v>1.215837000114432</v>
      </c>
      <c r="F83" s="213">
        <f t="shared" si="12"/>
        <v>57.0675571701215</v>
      </c>
      <c r="G83" s="214">
        <f t="shared" si="13"/>
        <v>1.080516370890478</v>
      </c>
      <c r="H83" s="215">
        <f t="shared" si="14"/>
        <v>0.2354836987083335</v>
      </c>
      <c r="I83" s="216">
        <f t="shared" si="15"/>
        <v>235.4836987083335</v>
      </c>
    </row>
    <row r="84" spans="1:9" ht="15">
      <c r="A84" s="209">
        <v>73</v>
      </c>
      <c r="B84" s="210">
        <f t="shared" si="8"/>
        <v>43.8</v>
      </c>
      <c r="C84" s="211">
        <f t="shared" si="9"/>
        <v>2.048791525313849</v>
      </c>
      <c r="D84" s="212">
        <f t="shared" si="10"/>
        <v>0.22115108036822706</v>
      </c>
      <c r="E84" s="213">
        <f t="shared" si="11"/>
        <v>1.2292749151883093</v>
      </c>
      <c r="F84" s="213">
        <f t="shared" si="12"/>
        <v>57.10229981143917</v>
      </c>
      <c r="G84" s="214">
        <f t="shared" si="13"/>
        <v>1.0831500415731388</v>
      </c>
      <c r="H84" s="215">
        <f t="shared" si="14"/>
        <v>0.23953980189478968</v>
      </c>
      <c r="I84" s="216">
        <f t="shared" si="15"/>
        <v>239.5398018947897</v>
      </c>
    </row>
    <row r="85" spans="1:9" ht="15">
      <c r="A85" s="209">
        <v>74</v>
      </c>
      <c r="B85" s="210">
        <f t="shared" si="8"/>
        <v>44.4</v>
      </c>
      <c r="C85" s="211">
        <f t="shared" si="9"/>
        <v>2.0714510391994847</v>
      </c>
      <c r="D85" s="212">
        <f t="shared" si="10"/>
        <v>0.22432859220862272</v>
      </c>
      <c r="E85" s="213">
        <f t="shared" si="11"/>
        <v>1.2428706235196907</v>
      </c>
      <c r="F85" s="213">
        <f t="shared" si="12"/>
        <v>57.133396572100445</v>
      </c>
      <c r="G85" s="214">
        <f t="shared" si="13"/>
        <v>1.085511416290818</v>
      </c>
      <c r="H85" s="215">
        <f t="shared" si="14"/>
        <v>0.2435112478429074</v>
      </c>
      <c r="I85" s="216">
        <f t="shared" si="15"/>
        <v>243.5112478429074</v>
      </c>
    </row>
    <row r="86" spans="1:9" ht="15">
      <c r="A86" s="209">
        <v>75</v>
      </c>
      <c r="B86" s="210">
        <f t="shared" si="8"/>
        <v>45</v>
      </c>
      <c r="C86" s="211">
        <f t="shared" si="9"/>
        <v>2.0943951023931957</v>
      </c>
      <c r="D86" s="212">
        <f t="shared" si="10"/>
        <v>0.22746670238568734</v>
      </c>
      <c r="E86" s="213">
        <f t="shared" si="11"/>
        <v>1.2566370614359175</v>
      </c>
      <c r="F86" s="213">
        <f t="shared" si="12"/>
        <v>57.16079410014574</v>
      </c>
      <c r="G86" s="214">
        <f t="shared" si="13"/>
        <v>1.087595082268379</v>
      </c>
      <c r="H86" s="215">
        <f t="shared" si="14"/>
        <v>0.24739166689447853</v>
      </c>
      <c r="I86" s="216">
        <f t="shared" si="15"/>
        <v>247.39166689447853</v>
      </c>
    </row>
    <row r="87" spans="1:9" ht="15">
      <c r="A87" s="209">
        <v>76</v>
      </c>
      <c r="B87" s="210">
        <f t="shared" si="8"/>
        <v>45.6</v>
      </c>
      <c r="C87" s="211">
        <f t="shared" si="9"/>
        <v>2.117647277490841</v>
      </c>
      <c r="D87" s="212">
        <f t="shared" si="10"/>
        <v>0.2305632359497809</v>
      </c>
      <c r="E87" s="213">
        <f t="shared" si="11"/>
        <v>1.2705883664945044</v>
      </c>
      <c r="F87" s="213">
        <f t="shared" si="12"/>
        <v>57.18442909421312</v>
      </c>
      <c r="G87" s="214">
        <f t="shared" si="13"/>
        <v>1.089395004831455</v>
      </c>
      <c r="H87" s="215">
        <f t="shared" si="14"/>
        <v>0.25117443754146745</v>
      </c>
      <c r="I87" s="216">
        <f t="shared" si="15"/>
        <v>251.17443754146746</v>
      </c>
    </row>
    <row r="88" spans="1:9" ht="15">
      <c r="A88" s="209">
        <v>77</v>
      </c>
      <c r="B88" s="210">
        <f t="shared" si="8"/>
        <v>46.2</v>
      </c>
      <c r="C88" s="211">
        <f t="shared" si="9"/>
        <v>2.1412334361948187</v>
      </c>
      <c r="D88" s="212">
        <f t="shared" si="10"/>
        <v>0.23361592905943526</v>
      </c>
      <c r="E88" s="213">
        <f t="shared" si="11"/>
        <v>1.2847400617168911</v>
      </c>
      <c r="F88" s="213">
        <f t="shared" si="12"/>
        <v>57.204227228896386</v>
      </c>
      <c r="G88" s="214">
        <f t="shared" si="13"/>
        <v>1.0909044501622054</v>
      </c>
      <c r="H88" s="215">
        <f t="shared" si="14"/>
        <v>0.254852656639716</v>
      </c>
      <c r="I88" s="216">
        <f t="shared" si="15"/>
        <v>254.852656639716</v>
      </c>
    </row>
    <row r="89" spans="1:9" ht="15">
      <c r="A89" s="209">
        <v>78</v>
      </c>
      <c r="B89" s="210">
        <f t="shared" si="8"/>
        <v>46.8</v>
      </c>
      <c r="C89" s="211">
        <f t="shared" si="9"/>
        <v>2.165182126795959</v>
      </c>
      <c r="D89" s="212">
        <f t="shared" si="10"/>
        <v>0.23662241880888757</v>
      </c>
      <c r="E89" s="213">
        <f t="shared" si="11"/>
        <v>1.2991092760775753</v>
      </c>
      <c r="F89" s="213">
        <f t="shared" si="12"/>
        <v>57.220101858657735</v>
      </c>
      <c r="G89" s="214">
        <f t="shared" si="13"/>
        <v>1.0921158931010315</v>
      </c>
      <c r="H89" s="215">
        <f t="shared" si="14"/>
        <v>0.25841910424519454</v>
      </c>
      <c r="I89" s="216">
        <f t="shared" si="15"/>
        <v>258.41910424519455</v>
      </c>
    </row>
    <row r="90" spans="1:9" ht="15">
      <c r="A90" s="209">
        <v>79</v>
      </c>
      <c r="B90" s="210">
        <f t="shared" si="8"/>
        <v>47.4</v>
      </c>
      <c r="C90" s="211">
        <f t="shared" si="9"/>
        <v>2.1895250174671474</v>
      </c>
      <c r="D90" s="212">
        <f t="shared" si="10"/>
        <v>0.2395802315240645</v>
      </c>
      <c r="E90" s="213">
        <f t="shared" si="11"/>
        <v>1.3137150104802884</v>
      </c>
      <c r="F90" s="213">
        <f t="shared" si="12"/>
        <v>57.23195244762618</v>
      </c>
      <c r="G90" s="214">
        <f t="shared" si="13"/>
        <v>1.0930209063598701</v>
      </c>
      <c r="H90" s="215">
        <f t="shared" si="14"/>
        <v>0.2618662018063405</v>
      </c>
      <c r="I90" s="216">
        <f t="shared" si="15"/>
        <v>261.86620180634054</v>
      </c>
    </row>
    <row r="91" spans="1:9" ht="15">
      <c r="A91" s="209">
        <v>80</v>
      </c>
      <c r="B91" s="210">
        <f t="shared" si="8"/>
        <v>48</v>
      </c>
      <c r="C91" s="211">
        <f t="shared" si="9"/>
        <v>2.214297435588181</v>
      </c>
      <c r="D91" s="212">
        <f t="shared" si="10"/>
        <v>0.24248676920293624</v>
      </c>
      <c r="E91" s="213">
        <f t="shared" si="11"/>
        <v>1.3285784613529084</v>
      </c>
      <c r="F91" s="213">
        <f t="shared" si="12"/>
        <v>57.23966265635023</v>
      </c>
      <c r="G91" s="214">
        <f t="shared" si="13"/>
        <v>1.093610026396178</v>
      </c>
      <c r="H91" s="215">
        <f t="shared" si="14"/>
        <v>0.26518596206874706</v>
      </c>
      <c r="I91" s="216">
        <f t="shared" si="15"/>
        <v>265.1859620687471</v>
      </c>
    </row>
    <row r="92" spans="1:9" ht="15">
      <c r="A92" s="209">
        <v>81</v>
      </c>
      <c r="B92" s="210">
        <f t="shared" si="8"/>
        <v>48.6</v>
      </c>
      <c r="C92" s="211">
        <f t="shared" si="9"/>
        <v>2.2395390299972684</v>
      </c>
      <c r="D92" s="212">
        <f t="shared" si="10"/>
        <v>0.24533929368867666</v>
      </c>
      <c r="E92" s="213">
        <f t="shared" si="11"/>
        <v>1.343723417998361</v>
      </c>
      <c r="F92" s="213">
        <f t="shared" si="12"/>
        <v>57.24309799424985</v>
      </c>
      <c r="G92" s="214">
        <f t="shared" si="13"/>
        <v>1.0938725896627934</v>
      </c>
      <c r="H92" s="215">
        <f t="shared" si="14"/>
        <v>0.26836992853327335</v>
      </c>
      <c r="I92" s="216">
        <f t="shared" si="15"/>
        <v>268.36992853327337</v>
      </c>
    </row>
    <row r="93" spans="1:9" ht="15">
      <c r="A93" s="209">
        <v>82</v>
      </c>
      <c r="B93" s="210">
        <f t="shared" si="8"/>
        <v>49.2</v>
      </c>
      <c r="C93" s="211">
        <f t="shared" si="9"/>
        <v>2.2652945924214527</v>
      </c>
      <c r="D93" s="212">
        <f t="shared" si="10"/>
        <v>0.24813490804706662</v>
      </c>
      <c r="E93" s="213">
        <f t="shared" si="11"/>
        <v>1.3591767554528715</v>
      </c>
      <c r="F93" s="213">
        <f t="shared" si="12"/>
        <v>57.2421029154097</v>
      </c>
      <c r="G93" s="214">
        <f t="shared" si="13"/>
        <v>1.0937965308103688</v>
      </c>
      <c r="H93" s="215">
        <f t="shared" si="14"/>
        <v>0.27140910159483134</v>
      </c>
      <c r="I93" s="216">
        <f t="shared" si="15"/>
        <v>271.4091015948313</v>
      </c>
    </row>
    <row r="94" spans="1:9" ht="15">
      <c r="A94" s="209">
        <v>83</v>
      </c>
      <c r="B94" s="210">
        <f t="shared" si="8"/>
        <v>49.8</v>
      </c>
      <c r="C94" s="211">
        <f t="shared" si="9"/>
        <v>2.291615087664986</v>
      </c>
      <c r="D94" s="212">
        <f t="shared" si="10"/>
        <v>0.250870534460928</v>
      </c>
      <c r="E94" s="213">
        <f t="shared" si="11"/>
        <v>1.3749690525989917</v>
      </c>
      <c r="F94" s="213">
        <f t="shared" si="12"/>
        <v>57.23649719131325</v>
      </c>
      <c r="G94" s="214">
        <f t="shared" si="13"/>
        <v>1.093368131389293</v>
      </c>
      <c r="H94" s="215">
        <f t="shared" si="14"/>
        <v>0.27429384748417807</v>
      </c>
      <c r="I94" s="216">
        <f t="shared" si="15"/>
        <v>274.29384748417806</v>
      </c>
    </row>
    <row r="95" spans="1:9" ht="15">
      <c r="A95" s="209">
        <v>84</v>
      </c>
      <c r="B95" s="210">
        <f t="shared" si="8"/>
        <v>50.4</v>
      </c>
      <c r="C95" s="211">
        <f t="shared" si="9"/>
        <v>2.318558961454817</v>
      </c>
      <c r="D95" s="212">
        <f t="shared" si="10"/>
        <v>0.2535428877359411</v>
      </c>
      <c r="E95" s="213">
        <f t="shared" si="11"/>
        <v>1.3911353768728902</v>
      </c>
      <c r="F95" s="213">
        <f t="shared" si="12"/>
        <v>57.22607133063438</v>
      </c>
      <c r="G95" s="214">
        <f t="shared" si="13"/>
        <v>1.092571703228821</v>
      </c>
      <c r="H95" s="215">
        <f t="shared" si="14"/>
        <v>0.2770137846952109</v>
      </c>
      <c r="I95" s="216">
        <f t="shared" si="15"/>
        <v>277.01378469521086</v>
      </c>
    </row>
    <row r="96" spans="1:9" ht="15">
      <c r="A96" s="209">
        <v>85</v>
      </c>
      <c r="B96" s="210">
        <f t="shared" si="8"/>
        <v>51</v>
      </c>
      <c r="C96" s="211">
        <f t="shared" si="9"/>
        <v>2.34619382340565</v>
      </c>
      <c r="D96" s="212">
        <f t="shared" si="10"/>
        <v>0.2561484432063284</v>
      </c>
      <c r="E96" s="213">
        <f t="shared" si="11"/>
        <v>1.4077162940433898</v>
      </c>
      <c r="F96" s="213">
        <f t="shared" si="12"/>
        <v>57.210580722880806</v>
      </c>
      <c r="G96" s="214">
        <f t="shared" si="13"/>
        <v>1.091389184245595</v>
      </c>
      <c r="H96" s="215">
        <f t="shared" si="14"/>
        <v>0.27955764047673387</v>
      </c>
      <c r="I96" s="216">
        <f t="shared" si="15"/>
        <v>279.55764047673387</v>
      </c>
    </row>
    <row r="97" spans="1:9" ht="15">
      <c r="A97" s="209">
        <v>86</v>
      </c>
      <c r="B97" s="210">
        <f t="shared" si="8"/>
        <v>51.6</v>
      </c>
      <c r="C97" s="211">
        <f t="shared" si="9"/>
        <v>2.374598645727927</v>
      </c>
      <c r="D97" s="212">
        <f t="shared" si="10"/>
        <v>0.25868339739246365</v>
      </c>
      <c r="E97" s="213">
        <f t="shared" si="11"/>
        <v>1.424759187436756</v>
      </c>
      <c r="F97" s="213">
        <f t="shared" si="12"/>
        <v>57.18973804246595</v>
      </c>
      <c r="G97" s="214">
        <f t="shared" si="13"/>
        <v>1.0897996147755813</v>
      </c>
      <c r="H97" s="215">
        <f t="shared" si="14"/>
        <v>0.2819130668271455</v>
      </c>
      <c r="I97" s="216">
        <f t="shared" si="15"/>
        <v>281.9130668271455</v>
      </c>
    </row>
    <row r="98" spans="1:9" ht="15">
      <c r="A98" s="209">
        <v>87</v>
      </c>
      <c r="B98" s="210">
        <f t="shared" si="8"/>
        <v>52.2</v>
      </c>
      <c r="C98" s="211">
        <f t="shared" si="9"/>
        <v>2.4038666851365447</v>
      </c>
      <c r="D98" s="212">
        <f t="shared" si="10"/>
        <v>0.26114361912650086</v>
      </c>
      <c r="E98" s="213">
        <f t="shared" si="11"/>
        <v>1.4423200110819268</v>
      </c>
      <c r="F98" s="213">
        <f t="shared" si="12"/>
        <v>57.16320323388821</v>
      </c>
      <c r="G98" s="214">
        <f t="shared" si="13"/>
        <v>1.0877784476469161</v>
      </c>
      <c r="H98" s="215">
        <f t="shared" si="14"/>
        <v>0.2840664006263226</v>
      </c>
      <c r="I98" s="216">
        <f t="shared" si="15"/>
        <v>284.0664006263226</v>
      </c>
    </row>
    <row r="99" spans="1:9" ht="15">
      <c r="A99" s="209">
        <v>88</v>
      </c>
      <c r="B99" s="210">
        <f t="shared" si="8"/>
        <v>52.8</v>
      </c>
      <c r="C99" s="211">
        <f t="shared" si="9"/>
        <v>2.43410944181045</v>
      </c>
      <c r="D99" s="212">
        <f t="shared" si="10"/>
        <v>0.26352458791310845</v>
      </c>
      <c r="E99" s="213">
        <f t="shared" si="11"/>
        <v>1.46046566508627</v>
      </c>
      <c r="F99" s="213">
        <f t="shared" si="12"/>
        <v>57.13057005696011</v>
      </c>
      <c r="G99" s="214">
        <f t="shared" si="13"/>
        <v>1.0852966216552646</v>
      </c>
      <c r="H99" s="215">
        <f t="shared" si="14"/>
        <v>0.2860023449851924</v>
      </c>
      <c r="I99" s="216">
        <f t="shared" si="15"/>
        <v>286.0023449851924</v>
      </c>
    </row>
    <row r="100" spans="1:9" ht="15">
      <c r="A100" s="209">
        <v>89</v>
      </c>
      <c r="B100" s="210">
        <f t="shared" si="8"/>
        <v>53.4</v>
      </c>
      <c r="C100" s="211">
        <f t="shared" si="9"/>
        <v>2.4654621440291313</v>
      </c>
      <c r="D100" s="212">
        <f t="shared" si="10"/>
        <v>0.26582131483745275</v>
      </c>
      <c r="E100" s="213">
        <f t="shared" si="11"/>
        <v>1.4792772864174788</v>
      </c>
      <c r="F100" s="213">
        <f t="shared" si="12"/>
        <v>57.091347612834106</v>
      </c>
      <c r="G100" s="214">
        <f t="shared" si="13"/>
        <v>1.0823192896133764</v>
      </c>
      <c r="H100" s="215">
        <f t="shared" si="14"/>
        <v>0.28770353663896553</v>
      </c>
      <c r="I100" s="216">
        <f t="shared" si="15"/>
        <v>287.70353663896555</v>
      </c>
    </row>
    <row r="101" spans="1:9" ht="15">
      <c r="A101" s="209">
        <v>90</v>
      </c>
      <c r="B101" s="210">
        <f t="shared" si="8"/>
        <v>54</v>
      </c>
      <c r="C101" s="211">
        <f t="shared" si="9"/>
        <v>2.498091544796509</v>
      </c>
      <c r="D101" s="212">
        <f t="shared" si="10"/>
        <v>0.26802823903168577</v>
      </c>
      <c r="E101" s="213">
        <f t="shared" si="11"/>
        <v>1.4988549268779052</v>
      </c>
      <c r="F101" s="213">
        <f t="shared" si="12"/>
        <v>57.04493432626519</v>
      </c>
      <c r="G101" s="214">
        <f t="shared" si="13"/>
        <v>1.0788040269409067</v>
      </c>
      <c r="H101" s="215">
        <f t="shared" si="14"/>
        <v>0.2891499436012625</v>
      </c>
      <c r="I101" s="216">
        <f t="shared" si="15"/>
        <v>289.1499436012625</v>
      </c>
    </row>
    <row r="102" spans="1:9" ht="15">
      <c r="A102" s="209">
        <v>91</v>
      </c>
      <c r="B102" s="210">
        <f t="shared" si="8"/>
        <v>54.6</v>
      </c>
      <c r="C102" s="211">
        <f t="shared" si="9"/>
        <v>2.5322073455589984</v>
      </c>
      <c r="D102" s="212">
        <f t="shared" si="10"/>
        <v>0.2701390889390522</v>
      </c>
      <c r="E102" s="213">
        <f t="shared" si="11"/>
        <v>1.519324407335399</v>
      </c>
      <c r="F102" s="213">
        <f t="shared" si="12"/>
        <v>56.9905801899895</v>
      </c>
      <c r="G102" s="214">
        <f t="shared" si="13"/>
        <v>1.0746982315573717</v>
      </c>
      <c r="H102" s="215">
        <f t="shared" si="14"/>
        <v>0.29031800115731893</v>
      </c>
      <c r="I102" s="216">
        <f t="shared" si="15"/>
        <v>290.3180011573189</v>
      </c>
    </row>
    <row r="103" spans="1:9" ht="15">
      <c r="A103" s="209">
        <v>92</v>
      </c>
      <c r="B103" s="210">
        <f t="shared" si="8"/>
        <v>55.2</v>
      </c>
      <c r="C103" s="211">
        <f t="shared" si="9"/>
        <v>2.5680795491666966</v>
      </c>
      <c r="D103" s="212">
        <f t="shared" si="10"/>
        <v>0.27214669116294427</v>
      </c>
      <c r="E103" s="213">
        <f t="shared" si="11"/>
        <v>1.5408477295000178</v>
      </c>
      <c r="F103" s="213">
        <f t="shared" si="12"/>
        <v>56.9273299787703</v>
      </c>
      <c r="G103" s="214">
        <f t="shared" si="13"/>
        <v>1.0699352119758283</v>
      </c>
      <c r="H103" s="215">
        <f t="shared" si="14"/>
        <v>0.2911793276979451</v>
      </c>
      <c r="I103" s="216">
        <f t="shared" si="15"/>
        <v>291.1793276979451</v>
      </c>
    </row>
    <row r="104" spans="1:9" ht="15">
      <c r="A104" s="209">
        <v>93</v>
      </c>
      <c r="B104" s="210">
        <f t="shared" si="8"/>
        <v>55.8</v>
      </c>
      <c r="C104" s="211">
        <f t="shared" si="9"/>
        <v>2.606065999275405</v>
      </c>
      <c r="D104" s="212">
        <f t="shared" si="10"/>
        <v>0.2740426980802343</v>
      </c>
      <c r="E104" s="213">
        <f t="shared" si="11"/>
        <v>1.563639599565243</v>
      </c>
      <c r="F104" s="213">
        <f t="shared" si="12"/>
        <v>56.853934039620455</v>
      </c>
      <c r="G104" s="214">
        <f t="shared" si="13"/>
        <v>1.0644280392180243</v>
      </c>
      <c r="H104" s="215">
        <f t="shared" si="14"/>
        <v>0.29169873177956085</v>
      </c>
      <c r="I104" s="216">
        <f t="shared" si="15"/>
        <v>291.69873177956083</v>
      </c>
    </row>
    <row r="105" spans="1:9" ht="15">
      <c r="A105" s="209">
        <v>94</v>
      </c>
      <c r="B105" s="210">
        <f t="shared" si="8"/>
        <v>56.4</v>
      </c>
      <c r="C105" s="211">
        <f t="shared" si="9"/>
        <v>2.6466585272488974</v>
      </c>
      <c r="D105" s="212">
        <f t="shared" si="10"/>
        <v>0.2758171831841369</v>
      </c>
      <c r="E105" s="213">
        <f t="shared" si="11"/>
        <v>1.5879951163493384</v>
      </c>
      <c r="F105" s="213">
        <f t="shared" si="12"/>
        <v>56.768700347529816</v>
      </c>
      <c r="G105" s="214">
        <f t="shared" si="13"/>
        <v>1.0580593459298397</v>
      </c>
      <c r="H105" s="215">
        <f t="shared" si="14"/>
        <v>0.2918309484360187</v>
      </c>
      <c r="I105" s="216">
        <f t="shared" si="15"/>
        <v>291.8309484360187</v>
      </c>
    </row>
    <row r="106" spans="1:9" ht="15">
      <c r="A106" s="209">
        <v>95</v>
      </c>
      <c r="B106" s="210">
        <f t="shared" si="8"/>
        <v>57</v>
      </c>
      <c r="C106" s="211">
        <f t="shared" si="9"/>
        <v>2.6905658417935303</v>
      </c>
      <c r="D106" s="212">
        <f t="shared" si="10"/>
        <v>0.2774580072040972</v>
      </c>
      <c r="E106" s="213">
        <f t="shared" si="11"/>
        <v>1.6143395050761182</v>
      </c>
      <c r="F106" s="213">
        <f t="shared" si="12"/>
        <v>56.66923156147677</v>
      </c>
      <c r="G106" s="214">
        <f t="shared" si="13"/>
        <v>1.0506631862676832</v>
      </c>
      <c r="H106" s="215">
        <f t="shared" si="14"/>
        <v>0.29151491390453854</v>
      </c>
      <c r="I106" s="216">
        <f t="shared" si="15"/>
        <v>291.51491390453856</v>
      </c>
    </row>
    <row r="107" spans="1:9" ht="15">
      <c r="A107" s="209">
        <v>96</v>
      </c>
      <c r="B107" s="210">
        <f t="shared" si="8"/>
        <v>57.6</v>
      </c>
      <c r="C107" s="211">
        <f t="shared" si="9"/>
        <v>2.7388768120091314</v>
      </c>
      <c r="D107" s="212">
        <f t="shared" si="10"/>
        <v>0.27894975319321336</v>
      </c>
      <c r="E107" s="213">
        <f t="shared" si="11"/>
        <v>1.6433260872054787</v>
      </c>
      <c r="F107" s="213">
        <f t="shared" si="12"/>
        <v>56.55191261851889</v>
      </c>
      <c r="G107" s="214">
        <f t="shared" si="13"/>
        <v>1.0419896649298395</v>
      </c>
      <c r="H107" s="215">
        <f t="shared" si="14"/>
        <v>0.2906627598620578</v>
      </c>
      <c r="I107" s="216">
        <f t="shared" si="15"/>
        <v>290.6627598620578</v>
      </c>
    </row>
    <row r="108" spans="1:9" ht="15">
      <c r="A108" s="209">
        <v>97</v>
      </c>
      <c r="B108" s="210">
        <f t="shared" si="8"/>
        <v>58.2</v>
      </c>
      <c r="C108" s="211">
        <f t="shared" si="9"/>
        <v>2.793426632316832</v>
      </c>
      <c r="D108" s="212">
        <f t="shared" si="10"/>
        <v>0.2802717547173354</v>
      </c>
      <c r="E108" s="213">
        <f t="shared" si="11"/>
        <v>1.676055979390099</v>
      </c>
      <c r="F108" s="213">
        <f t="shared" si="12"/>
        <v>56.41077431888324</v>
      </c>
      <c r="G108" s="214">
        <f t="shared" si="13"/>
        <v>1.0316264423443529</v>
      </c>
      <c r="H108" s="215">
        <f t="shared" si="14"/>
        <v>0.2891357532086538</v>
      </c>
      <c r="I108" s="216">
        <f t="shared" si="15"/>
        <v>289.1357532086538</v>
      </c>
    </row>
    <row r="109" spans="1:9" ht="15">
      <c r="A109" s="209">
        <v>98</v>
      </c>
      <c r="B109" s="210">
        <f t="shared" si="8"/>
        <v>58.8</v>
      </c>
      <c r="C109" s="211">
        <f t="shared" si="9"/>
        <v>2.857798544381465</v>
      </c>
      <c r="D109" s="212">
        <f t="shared" si="10"/>
        <v>0.2813938689943319</v>
      </c>
      <c r="E109" s="213">
        <f t="shared" si="11"/>
        <v>1.714679126628879</v>
      </c>
      <c r="F109" s="213">
        <f t="shared" si="12"/>
        <v>56.23442004763353</v>
      </c>
      <c r="G109" s="214">
        <f t="shared" si="13"/>
        <v>1.0187863165485924</v>
      </c>
      <c r="H109" s="215">
        <f t="shared" si="14"/>
        <v>0.28668022329209253</v>
      </c>
      <c r="I109" s="216">
        <f t="shared" si="15"/>
        <v>286.68022329209253</v>
      </c>
    </row>
    <row r="110" spans="1:9" ht="15">
      <c r="A110" s="209">
        <v>99</v>
      </c>
      <c r="B110" s="210">
        <f>A110*$B$111/100</f>
        <v>59.4</v>
      </c>
      <c r="C110" s="211">
        <f t="shared" si="9"/>
        <v>2.9412578112666736</v>
      </c>
      <c r="D110" s="212">
        <f t="shared" si="10"/>
        <v>0.2822647814045614</v>
      </c>
      <c r="E110" s="213">
        <f t="shared" si="11"/>
        <v>1.7647546867600041</v>
      </c>
      <c r="F110" s="213">
        <f t="shared" si="12"/>
        <v>55.99410628058004</v>
      </c>
      <c r="G110" s="214">
        <f t="shared" si="13"/>
        <v>1.0014827890034725</v>
      </c>
      <c r="H110" s="215">
        <f t="shared" si="14"/>
        <v>0.28268332051849565</v>
      </c>
      <c r="I110" s="216">
        <f t="shared" si="15"/>
        <v>282.68332051849563</v>
      </c>
    </row>
    <row r="111" spans="1:9" ht="15">
      <c r="A111" s="209">
        <v>100</v>
      </c>
      <c r="B111" s="217">
        <f>$D$7</f>
        <v>60</v>
      </c>
      <c r="C111" s="211">
        <f t="shared" si="9"/>
        <v>3.141592653589793</v>
      </c>
      <c r="D111" s="212">
        <f t="shared" si="10"/>
        <v>0.2827433388230814</v>
      </c>
      <c r="E111" s="213">
        <f t="shared" si="11"/>
        <v>1.8849555921538759</v>
      </c>
      <c r="F111" s="213">
        <f t="shared" si="12"/>
        <v>55.39817639416825</v>
      </c>
      <c r="G111" s="214">
        <f t="shared" si="13"/>
        <v>0.9595245616136224</v>
      </c>
      <c r="H111" s="215">
        <f t="shared" si="14"/>
        <v>0.27129917823338906</v>
      </c>
      <c r="I111" s="216">
        <f t="shared" si="15"/>
        <v>271.29917823338906</v>
      </c>
    </row>
    <row r="113" spans="1:9" ht="15">
      <c r="A113" s="250" t="s">
        <v>251</v>
      </c>
      <c r="B113" s="251"/>
      <c r="C113" s="251"/>
      <c r="D113" s="251"/>
      <c r="E113" s="251"/>
      <c r="F113" s="251"/>
      <c r="G113" s="251"/>
      <c r="H113" s="251"/>
      <c r="I113" s="252"/>
    </row>
    <row r="114" spans="1:9" ht="15">
      <c r="A114" s="218"/>
      <c r="B114" s="219"/>
      <c r="C114" s="220"/>
      <c r="D114" s="220"/>
      <c r="E114" s="221"/>
      <c r="F114" s="220"/>
      <c r="G114" s="220"/>
      <c r="H114" s="220"/>
      <c r="I114" s="222"/>
    </row>
    <row r="115" spans="1:9" ht="15">
      <c r="A115" s="218"/>
      <c r="B115" s="223"/>
      <c r="C115" s="220"/>
      <c r="D115" s="220"/>
      <c r="E115" s="220" t="s">
        <v>252</v>
      </c>
      <c r="F115" s="223"/>
      <c r="G115" s="223"/>
      <c r="H115" s="220"/>
      <c r="I115" s="222"/>
    </row>
    <row r="116" spans="1:9" ht="15">
      <c r="A116" s="218"/>
      <c r="B116" s="220"/>
      <c r="C116" s="220"/>
      <c r="D116" s="220"/>
      <c r="E116" s="221"/>
      <c r="F116" s="223"/>
      <c r="G116" s="223"/>
      <c r="H116" s="220"/>
      <c r="I116" s="222"/>
    </row>
    <row r="117" spans="1:9" ht="14.25">
      <c r="A117" s="218"/>
      <c r="B117" s="220" t="s">
        <v>253</v>
      </c>
      <c r="C117" s="220"/>
      <c r="D117" s="220"/>
      <c r="E117" s="221"/>
      <c r="F117" s="224" t="s">
        <v>254</v>
      </c>
      <c r="G117" s="220" t="s">
        <v>255</v>
      </c>
      <c r="H117" s="220"/>
      <c r="I117" s="222"/>
    </row>
    <row r="118" spans="1:9" ht="14.25">
      <c r="A118" s="218"/>
      <c r="B118" s="220"/>
      <c r="C118" s="220"/>
      <c r="D118" s="220"/>
      <c r="E118" s="221"/>
      <c r="F118" s="224" t="s">
        <v>256</v>
      </c>
      <c r="G118" s="220" t="s">
        <v>257</v>
      </c>
      <c r="H118" s="220"/>
      <c r="I118" s="222"/>
    </row>
    <row r="119" spans="1:9" ht="14.25">
      <c r="A119" s="218"/>
      <c r="B119" s="220" t="s">
        <v>258</v>
      </c>
      <c r="C119" s="220"/>
      <c r="D119" s="220"/>
      <c r="E119" s="221"/>
      <c r="F119" s="224" t="s">
        <v>259</v>
      </c>
      <c r="G119" s="220" t="s">
        <v>260</v>
      </c>
      <c r="H119" s="220"/>
      <c r="I119" s="222"/>
    </row>
    <row r="120" spans="1:9" ht="15">
      <c r="A120" s="218"/>
      <c r="B120" s="223"/>
      <c r="C120" s="220"/>
      <c r="D120" s="220"/>
      <c r="E120" s="221"/>
      <c r="F120" s="224" t="s">
        <v>261</v>
      </c>
      <c r="G120" s="220" t="s">
        <v>262</v>
      </c>
      <c r="H120" s="220"/>
      <c r="I120" s="222"/>
    </row>
    <row r="121" spans="1:9" ht="15">
      <c r="A121" s="218"/>
      <c r="B121" s="220" t="s">
        <v>263</v>
      </c>
      <c r="C121" s="220"/>
      <c r="D121" s="220"/>
      <c r="E121" s="221"/>
      <c r="F121" s="225" t="s">
        <v>247</v>
      </c>
      <c r="G121" s="223" t="s">
        <v>264</v>
      </c>
      <c r="H121" s="220"/>
      <c r="I121" s="222"/>
    </row>
    <row r="122" spans="1:9" ht="15">
      <c r="A122" s="218"/>
      <c r="B122" s="220" t="s">
        <v>265</v>
      </c>
      <c r="C122" s="220"/>
      <c r="D122" s="220"/>
      <c r="E122" s="221"/>
      <c r="F122" s="225" t="s">
        <v>266</v>
      </c>
      <c r="G122" s="223" t="s">
        <v>267</v>
      </c>
      <c r="H122" s="220"/>
      <c r="I122" s="222"/>
    </row>
    <row r="123" spans="1:9" ht="15.75">
      <c r="A123" s="218"/>
      <c r="B123" s="223"/>
      <c r="C123" s="220"/>
      <c r="D123" s="220"/>
      <c r="E123" s="221"/>
      <c r="F123" s="223"/>
      <c r="G123" s="223"/>
      <c r="H123" s="220"/>
      <c r="I123" s="222"/>
    </row>
    <row r="124" spans="1:9" ht="15">
      <c r="A124" s="226" t="s">
        <v>268</v>
      </c>
      <c r="B124" s="227"/>
      <c r="C124" s="227"/>
      <c r="D124" s="227"/>
      <c r="E124" s="228"/>
      <c r="F124" s="227"/>
      <c r="G124" s="227"/>
      <c r="H124" s="227"/>
      <c r="I124" s="229"/>
    </row>
  </sheetData>
  <sheetProtection/>
  <mergeCells count="6">
    <mergeCell ref="A1:I1"/>
    <mergeCell ref="A2:I2"/>
    <mergeCell ref="A3:I3"/>
    <mergeCell ref="C6:E6"/>
    <mergeCell ref="A113:I113"/>
    <mergeCell ref="A4:I4"/>
  </mergeCell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38821100" r:id="rId1"/>
    <oleObject progId="Equation.3" shapeId="38821101" r:id="rId2"/>
    <oleObject progId="Equation.3" shapeId="38821102" r:id="rId3"/>
    <oleObject progId="Equation.3" shapeId="38821103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8" sqref="H8"/>
    </sheetView>
  </sheetViews>
  <sheetFormatPr defaultColWidth="8.875" defaultRowHeight="12.75"/>
  <cols>
    <col min="1" max="1" width="4.375" style="13" customWidth="1"/>
    <col min="2" max="2" width="52.125" style="13" customWidth="1"/>
    <col min="3" max="3" width="9.75390625" style="13" bestFit="1" customWidth="1"/>
    <col min="4" max="4" width="9.125" style="13" customWidth="1"/>
    <col min="5" max="5" width="12.00390625" style="13" customWidth="1"/>
    <col min="6" max="16384" width="8.875" style="13" customWidth="1"/>
  </cols>
  <sheetData>
    <row r="1" spans="2:4" ht="15">
      <c r="B1" s="24"/>
      <c r="C1" s="24"/>
      <c r="D1" s="24"/>
    </row>
    <row r="2" spans="2:4" ht="15">
      <c r="B2" s="254" t="s">
        <v>34</v>
      </c>
      <c r="C2" s="254"/>
      <c r="D2" s="254"/>
    </row>
    <row r="3" spans="2:4" ht="15">
      <c r="B3" s="255" t="s">
        <v>33</v>
      </c>
      <c r="C3" s="255"/>
      <c r="D3" s="255"/>
    </row>
    <row r="5" spans="1:5" ht="45">
      <c r="A5" s="16"/>
      <c r="B5" s="23" t="s">
        <v>32</v>
      </c>
      <c r="C5" s="23" t="s">
        <v>31</v>
      </c>
      <c r="D5" s="23" t="s">
        <v>200</v>
      </c>
      <c r="E5" s="23" t="s">
        <v>35</v>
      </c>
    </row>
    <row r="6" spans="1:5" ht="15">
      <c r="A6" s="17" t="s">
        <v>30</v>
      </c>
      <c r="B6" s="16" t="s">
        <v>29</v>
      </c>
      <c r="C6" s="15">
        <v>0.009</v>
      </c>
      <c r="D6" s="14">
        <v>111</v>
      </c>
      <c r="E6" s="16"/>
    </row>
    <row r="7" spans="1:5" ht="30.75">
      <c r="A7" s="17"/>
      <c r="B7" s="22" t="s">
        <v>28</v>
      </c>
      <c r="C7" s="15"/>
      <c r="D7" s="21" t="s">
        <v>27</v>
      </c>
      <c r="E7" s="26">
        <v>108</v>
      </c>
    </row>
    <row r="8" spans="1:5" ht="30">
      <c r="A8" s="17" t="s">
        <v>26</v>
      </c>
      <c r="B8" s="16" t="s">
        <v>25</v>
      </c>
      <c r="C8" s="15">
        <v>0.01</v>
      </c>
      <c r="D8" s="14">
        <v>100</v>
      </c>
      <c r="E8" s="16"/>
    </row>
    <row r="9" spans="1:5" ht="45">
      <c r="A9" s="17" t="s">
        <v>24</v>
      </c>
      <c r="B9" s="16" t="s">
        <v>23</v>
      </c>
      <c r="C9" s="15">
        <v>0.011</v>
      </c>
      <c r="D9" s="14">
        <v>91</v>
      </c>
      <c r="E9" s="16"/>
    </row>
    <row r="10" spans="1:5" ht="45">
      <c r="A10" s="17" t="s">
        <v>22</v>
      </c>
      <c r="B10" s="16" t="s">
        <v>21</v>
      </c>
      <c r="C10" s="15">
        <v>0.012</v>
      </c>
      <c r="D10" s="14">
        <v>83</v>
      </c>
      <c r="E10" s="16"/>
    </row>
    <row r="11" spans="1:5" ht="45">
      <c r="A11" s="17" t="s">
        <v>20</v>
      </c>
      <c r="B11" s="16" t="s">
        <v>19</v>
      </c>
      <c r="C11" s="15">
        <v>0.013</v>
      </c>
      <c r="D11" s="14">
        <v>77</v>
      </c>
      <c r="E11" s="16"/>
    </row>
    <row r="12" spans="1:5" ht="30.75">
      <c r="A12" s="17" t="s">
        <v>18</v>
      </c>
      <c r="B12" s="20" t="s">
        <v>17</v>
      </c>
      <c r="C12" s="19">
        <v>0.014</v>
      </c>
      <c r="D12" s="18">
        <v>71</v>
      </c>
      <c r="E12" s="26">
        <v>76</v>
      </c>
    </row>
    <row r="13" spans="1:5" ht="45">
      <c r="A13" s="17" t="s">
        <v>16</v>
      </c>
      <c r="B13" s="16" t="s">
        <v>15</v>
      </c>
      <c r="C13" s="15">
        <v>0.015</v>
      </c>
      <c r="D13" s="14">
        <v>67</v>
      </c>
      <c r="E13" s="16"/>
    </row>
    <row r="14" spans="1:5" ht="30">
      <c r="A14" s="17" t="s">
        <v>14</v>
      </c>
      <c r="B14" s="16" t="s">
        <v>13</v>
      </c>
      <c r="C14" s="15">
        <v>0.017</v>
      </c>
      <c r="D14" s="14">
        <v>59</v>
      </c>
      <c r="E14" s="16"/>
    </row>
    <row r="15" spans="1:5" ht="15">
      <c r="A15" s="17" t="s">
        <v>12</v>
      </c>
      <c r="B15" s="16"/>
      <c r="C15" s="14"/>
      <c r="D15" s="14"/>
      <c r="E15" s="16"/>
    </row>
    <row r="16" spans="1:5" ht="15">
      <c r="A16" s="17" t="s">
        <v>11</v>
      </c>
      <c r="B16" s="22" t="s">
        <v>10</v>
      </c>
      <c r="C16" s="25">
        <v>0.03</v>
      </c>
      <c r="D16" s="21">
        <v>33</v>
      </c>
      <c r="E16" s="16"/>
    </row>
    <row r="17" spans="2:4" ht="35.25" customHeight="1">
      <c r="B17" s="256" t="s">
        <v>9</v>
      </c>
      <c r="C17" s="256"/>
      <c r="D17" s="256"/>
    </row>
  </sheetData>
  <sheetProtection/>
  <mergeCells count="3">
    <mergeCell ref="B2:D2"/>
    <mergeCell ref="B3:D3"/>
    <mergeCell ref="B17:D1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31">
      <selection activeCell="A1" sqref="A1:D2"/>
    </sheetView>
  </sheetViews>
  <sheetFormatPr defaultColWidth="9.00390625" defaultRowHeight="12.75"/>
  <cols>
    <col min="1" max="1" width="69.25390625" style="80" customWidth="1"/>
    <col min="2" max="4" width="18.75390625" style="80" customWidth="1"/>
    <col min="5" max="5" width="3.875" style="80" customWidth="1"/>
    <col min="6" max="16384" width="9.125" style="80" customWidth="1"/>
  </cols>
  <sheetData>
    <row r="1" spans="1:4" ht="15" customHeight="1">
      <c r="A1" s="257" t="s">
        <v>227</v>
      </c>
      <c r="B1" s="258"/>
      <c r="C1" s="258"/>
      <c r="D1" s="259"/>
    </row>
    <row r="2" spans="1:4" ht="15" customHeight="1">
      <c r="A2" s="260"/>
      <c r="B2" s="261"/>
      <c r="C2" s="261"/>
      <c r="D2" s="262"/>
    </row>
    <row r="3" spans="1:4" ht="15" customHeight="1">
      <c r="A3" s="83"/>
      <c r="B3" s="82"/>
      <c r="C3" s="81"/>
      <c r="D3" s="81"/>
    </row>
    <row r="4" spans="1:4" s="84" customFormat="1" ht="15.75">
      <c r="A4" s="263" t="s">
        <v>105</v>
      </c>
      <c r="B4" s="263"/>
      <c r="C4" s="263"/>
      <c r="D4" s="263"/>
    </row>
    <row r="5" spans="1:4" s="84" customFormat="1" ht="16.5" thickBot="1">
      <c r="A5" s="263" t="s">
        <v>106</v>
      </c>
      <c r="B5" s="263"/>
      <c r="C5" s="263"/>
      <c r="D5" s="263"/>
    </row>
    <row r="6" spans="1:4" s="84" customFormat="1" ht="19.5" thickBot="1">
      <c r="A6" s="264" t="s">
        <v>107</v>
      </c>
      <c r="B6" s="266" t="s">
        <v>108</v>
      </c>
      <c r="C6" s="267"/>
      <c r="D6" s="268"/>
    </row>
    <row r="7" spans="1:4" s="84" customFormat="1" ht="16.5" thickBot="1">
      <c r="A7" s="265"/>
      <c r="B7" s="85" t="s">
        <v>109</v>
      </c>
      <c r="C7" s="85" t="s">
        <v>110</v>
      </c>
      <c r="D7" s="85" t="s">
        <v>111</v>
      </c>
    </row>
    <row r="8" spans="1:4" s="84" customFormat="1" ht="15" customHeight="1">
      <c r="A8" s="86" t="s">
        <v>112</v>
      </c>
      <c r="B8" s="87"/>
      <c r="C8" s="88"/>
      <c r="D8" s="89"/>
    </row>
    <row r="9" spans="1:4" s="84" customFormat="1" ht="15" customHeight="1">
      <c r="A9" s="90" t="s">
        <v>113</v>
      </c>
      <c r="B9" s="91"/>
      <c r="C9" s="92"/>
      <c r="D9" s="93"/>
    </row>
    <row r="10" spans="1:4" s="84" customFormat="1" ht="15" customHeight="1">
      <c r="A10" s="94" t="s">
        <v>114</v>
      </c>
      <c r="B10" s="95">
        <v>0.016</v>
      </c>
      <c r="C10" s="95" t="s">
        <v>115</v>
      </c>
      <c r="D10" s="95">
        <v>0.02</v>
      </c>
    </row>
    <row r="11" spans="1:4" s="84" customFormat="1" ht="15" customHeight="1">
      <c r="A11" s="94" t="s">
        <v>116</v>
      </c>
      <c r="B11" s="95">
        <v>0.018</v>
      </c>
      <c r="C11" s="95">
        <v>0.022</v>
      </c>
      <c r="D11" s="95">
        <v>0.025</v>
      </c>
    </row>
    <row r="12" spans="1:4" s="84" customFormat="1" ht="15" customHeight="1">
      <c r="A12" s="94" t="s">
        <v>117</v>
      </c>
      <c r="B12" s="95">
        <v>0.022</v>
      </c>
      <c r="C12" s="95">
        <v>0.025</v>
      </c>
      <c r="D12" s="95">
        <v>0.03</v>
      </c>
    </row>
    <row r="13" spans="1:4" s="84" customFormat="1" ht="15" customHeight="1">
      <c r="A13" s="94" t="s">
        <v>118</v>
      </c>
      <c r="B13" s="95">
        <v>0.022</v>
      </c>
      <c r="C13" s="95">
        <v>0.027</v>
      </c>
      <c r="D13" s="95">
        <v>0.033</v>
      </c>
    </row>
    <row r="14" spans="1:4" s="96" customFormat="1" ht="15" customHeight="1">
      <c r="A14" s="90" t="s">
        <v>119</v>
      </c>
      <c r="B14" s="91"/>
      <c r="C14" s="92"/>
      <c r="D14" s="91"/>
    </row>
    <row r="15" spans="1:4" s="84" customFormat="1" ht="15" customHeight="1">
      <c r="A15" s="94" t="s">
        <v>120</v>
      </c>
      <c r="B15" s="95">
        <v>0.023</v>
      </c>
      <c r="C15" s="95">
        <v>0.025</v>
      </c>
      <c r="D15" s="95">
        <v>0.03</v>
      </c>
    </row>
    <row r="16" spans="1:4" s="84" customFormat="1" ht="15" customHeight="1">
      <c r="A16" s="94" t="s">
        <v>121</v>
      </c>
      <c r="B16" s="95">
        <v>0.025</v>
      </c>
      <c r="C16" s="95">
        <v>0.03</v>
      </c>
      <c r="D16" s="95">
        <v>0.033</v>
      </c>
    </row>
    <row r="17" spans="1:4" s="84" customFormat="1" ht="15" customHeight="1">
      <c r="A17" s="94" t="s">
        <v>122</v>
      </c>
      <c r="B17" s="95">
        <v>0.03</v>
      </c>
      <c r="C17" s="95">
        <v>0.035</v>
      </c>
      <c r="D17" s="95">
        <v>0.04</v>
      </c>
    </row>
    <row r="18" spans="1:4" s="84" customFormat="1" ht="15" customHeight="1">
      <c r="A18" s="94" t="s">
        <v>123</v>
      </c>
      <c r="B18" s="95">
        <v>0.028</v>
      </c>
      <c r="C18" s="95">
        <v>0.03</v>
      </c>
      <c r="D18" s="95">
        <v>0.035</v>
      </c>
    </row>
    <row r="19" spans="1:4" ht="15" customHeight="1">
      <c r="A19" s="94" t="s">
        <v>124</v>
      </c>
      <c r="B19" s="95">
        <v>0.025</v>
      </c>
      <c r="C19" s="95">
        <v>0.035</v>
      </c>
      <c r="D19" s="95">
        <v>0.04</v>
      </c>
    </row>
    <row r="20" spans="1:4" ht="15" customHeight="1">
      <c r="A20" s="94" t="s">
        <v>125</v>
      </c>
      <c r="B20" s="95">
        <v>0.03</v>
      </c>
      <c r="C20" s="95">
        <v>0.04</v>
      </c>
      <c r="D20" s="95">
        <v>0.05</v>
      </c>
    </row>
    <row r="21" spans="1:4" ht="15" customHeight="1">
      <c r="A21" s="90" t="s">
        <v>126</v>
      </c>
      <c r="B21" s="91"/>
      <c r="C21" s="92"/>
      <c r="D21" s="93"/>
    </row>
    <row r="22" spans="1:4" ht="15" customHeight="1">
      <c r="A22" s="94" t="s">
        <v>120</v>
      </c>
      <c r="B22" s="95">
        <v>0.025</v>
      </c>
      <c r="C22" s="95">
        <v>0.028</v>
      </c>
      <c r="D22" s="95">
        <v>0.033</v>
      </c>
    </row>
    <row r="23" spans="1:4" ht="15" customHeight="1">
      <c r="A23" s="94" t="s">
        <v>127</v>
      </c>
      <c r="B23" s="95">
        <v>0.035</v>
      </c>
      <c r="C23" s="95">
        <v>0.05</v>
      </c>
      <c r="D23" s="95">
        <v>0.06</v>
      </c>
    </row>
    <row r="24" spans="1:4" ht="15" customHeight="1">
      <c r="A24" s="90" t="s">
        <v>128</v>
      </c>
      <c r="B24" s="91"/>
      <c r="C24" s="92"/>
      <c r="D24" s="93"/>
    </row>
    <row r="25" spans="1:4" ht="15" customHeight="1">
      <c r="A25" s="94" t="s">
        <v>129</v>
      </c>
      <c r="B25" s="95">
        <v>0.025</v>
      </c>
      <c r="C25" s="95">
        <v>0.035</v>
      </c>
      <c r="D25" s="95">
        <v>0.04</v>
      </c>
    </row>
    <row r="26" spans="1:4" ht="15" customHeight="1">
      <c r="A26" s="94" t="s">
        <v>130</v>
      </c>
      <c r="B26" s="95">
        <v>0.035</v>
      </c>
      <c r="C26" s="95">
        <v>0.04</v>
      </c>
      <c r="D26" s="95">
        <v>0.05</v>
      </c>
    </row>
    <row r="27" spans="1:4" ht="15" customHeight="1">
      <c r="A27" s="90" t="s">
        <v>131</v>
      </c>
      <c r="B27" s="91"/>
      <c r="C27" s="92"/>
      <c r="D27" s="93"/>
    </row>
    <row r="28" spans="1:4" ht="15" customHeight="1">
      <c r="A28" s="94" t="s">
        <v>132</v>
      </c>
      <c r="B28" s="95">
        <v>0.05</v>
      </c>
      <c r="C28" s="95">
        <v>0.08</v>
      </c>
      <c r="D28" s="95">
        <v>0.12</v>
      </c>
    </row>
    <row r="29" spans="1:4" ht="15" customHeight="1">
      <c r="A29" s="94" t="s">
        <v>133</v>
      </c>
      <c r="B29" s="95">
        <v>0.04</v>
      </c>
      <c r="C29" s="95">
        <v>0.05</v>
      </c>
      <c r="D29" s="95">
        <v>0.08</v>
      </c>
    </row>
    <row r="30" spans="1:4" ht="15" customHeight="1">
      <c r="A30" s="94" t="s">
        <v>134</v>
      </c>
      <c r="B30" s="95">
        <v>0.08</v>
      </c>
      <c r="C30" s="95">
        <v>0.1</v>
      </c>
      <c r="D30" s="95">
        <v>0.14</v>
      </c>
    </row>
    <row r="31" spans="1:4" ht="15" customHeight="1">
      <c r="A31" s="91"/>
      <c r="B31" s="91"/>
      <c r="C31" s="91"/>
      <c r="D31" s="91"/>
    </row>
    <row r="32" spans="1:4" ht="15" customHeight="1">
      <c r="A32" s="97" t="s">
        <v>135</v>
      </c>
      <c r="B32" s="91"/>
      <c r="C32" s="91"/>
      <c r="D32" s="91"/>
    </row>
    <row r="33" spans="1:4" ht="15" customHeight="1">
      <c r="A33" s="90" t="s">
        <v>136</v>
      </c>
      <c r="B33" s="91"/>
      <c r="C33" s="92"/>
      <c r="D33" s="91"/>
    </row>
    <row r="34" spans="1:4" ht="15.75">
      <c r="A34" s="94" t="s">
        <v>137</v>
      </c>
      <c r="B34" s="95">
        <v>0.11</v>
      </c>
      <c r="C34" s="95">
        <v>0.013</v>
      </c>
      <c r="D34" s="95">
        <v>0.015</v>
      </c>
    </row>
    <row r="35" spans="1:4" ht="15.75">
      <c r="A35" s="94" t="s">
        <v>138</v>
      </c>
      <c r="B35" s="95">
        <v>0.013</v>
      </c>
      <c r="C35" s="95">
        <v>0.015</v>
      </c>
      <c r="D35" s="95">
        <v>0.016</v>
      </c>
    </row>
    <row r="36" spans="1:4" ht="15.75">
      <c r="A36" s="94" t="s">
        <v>139</v>
      </c>
      <c r="B36" s="95">
        <v>0.015</v>
      </c>
      <c r="C36" s="95">
        <v>0.017</v>
      </c>
      <c r="D36" s="95">
        <v>0.02</v>
      </c>
    </row>
    <row r="37" spans="1:4" ht="15.75">
      <c r="A37" s="94" t="s">
        <v>140</v>
      </c>
      <c r="B37" s="95">
        <v>0.014</v>
      </c>
      <c r="C37" s="95">
        <v>0.017</v>
      </c>
      <c r="D37" s="95">
        <v>0.02</v>
      </c>
    </row>
    <row r="38" spans="1:4" ht="15.75">
      <c r="A38" s="94" t="s">
        <v>141</v>
      </c>
      <c r="B38" s="95">
        <v>0.016</v>
      </c>
      <c r="C38" s="95">
        <v>0.019</v>
      </c>
      <c r="D38" s="95">
        <v>0.023</v>
      </c>
    </row>
    <row r="39" spans="1:4" ht="15.75">
      <c r="A39" s="94" t="s">
        <v>142</v>
      </c>
      <c r="B39" s="95">
        <v>0.018</v>
      </c>
      <c r="C39" s="95">
        <v>0.022</v>
      </c>
      <c r="D39" s="95">
        <v>0.025</v>
      </c>
    </row>
    <row r="40" spans="1:4" ht="15.75">
      <c r="A40" s="94" t="s">
        <v>143</v>
      </c>
      <c r="B40" s="95">
        <v>0.017</v>
      </c>
      <c r="C40" s="95">
        <v>0.02</v>
      </c>
      <c r="D40" s="92" t="s">
        <v>144</v>
      </c>
    </row>
    <row r="41" spans="1:4" ht="15.75">
      <c r="A41" s="90" t="s">
        <v>145</v>
      </c>
      <c r="B41" s="91"/>
      <c r="C41" s="92"/>
      <c r="D41" s="91"/>
    </row>
    <row r="42" spans="1:4" ht="15.75">
      <c r="A42" s="94" t="s">
        <v>146</v>
      </c>
      <c r="B42" s="95">
        <v>0.015</v>
      </c>
      <c r="C42" s="95">
        <v>0.017</v>
      </c>
      <c r="D42" s="95">
        <v>0.02</v>
      </c>
    </row>
    <row r="43" spans="1:4" ht="15.75">
      <c r="A43" s="94" t="s">
        <v>147</v>
      </c>
      <c r="B43" s="95">
        <v>0.017</v>
      </c>
      <c r="C43" s="95">
        <v>0.02</v>
      </c>
      <c r="D43" s="95">
        <v>0.024</v>
      </c>
    </row>
    <row r="44" spans="1:4" ht="15.75">
      <c r="A44" s="94" t="s">
        <v>148</v>
      </c>
      <c r="B44" s="95">
        <v>0.016</v>
      </c>
      <c r="C44" s="95">
        <v>0.02</v>
      </c>
      <c r="D44" s="95">
        <v>0.024</v>
      </c>
    </row>
    <row r="45" spans="1:4" ht="15.75">
      <c r="A45" s="94" t="s">
        <v>149</v>
      </c>
      <c r="B45" s="95">
        <v>0.02</v>
      </c>
      <c r="C45" s="95">
        <v>0.025</v>
      </c>
      <c r="D45" s="95">
        <v>0.03</v>
      </c>
    </row>
    <row r="46" spans="1:4" ht="15.75">
      <c r="A46" s="94" t="s">
        <v>150</v>
      </c>
      <c r="B46" s="95">
        <v>0.02</v>
      </c>
      <c r="C46" s="95">
        <v>0.03</v>
      </c>
      <c r="D46" s="95">
        <v>0.035</v>
      </c>
    </row>
    <row r="47" spans="1:4" ht="15.75">
      <c r="A47" s="90" t="s">
        <v>151</v>
      </c>
      <c r="B47" s="91"/>
      <c r="C47" s="92"/>
      <c r="D47" s="93"/>
    </row>
    <row r="48" spans="1:4" ht="15.75">
      <c r="A48" s="94" t="s">
        <v>152</v>
      </c>
      <c r="B48" s="95">
        <v>0.017</v>
      </c>
      <c r="C48" s="95">
        <v>0.02</v>
      </c>
      <c r="D48" s="95">
        <v>0.025</v>
      </c>
    </row>
    <row r="49" spans="1:4" ht="15.75">
      <c r="A49" s="94" t="s">
        <v>147</v>
      </c>
      <c r="B49" s="95">
        <v>0.02</v>
      </c>
      <c r="C49" s="95">
        <v>0.023</v>
      </c>
      <c r="D49" s="95">
        <v>0.026</v>
      </c>
    </row>
    <row r="50" spans="1:4" ht="15.75">
      <c r="A50" s="94" t="s">
        <v>153</v>
      </c>
      <c r="B50" s="95">
        <v>0.023</v>
      </c>
      <c r="C50" s="95">
        <v>0.033</v>
      </c>
      <c r="D50" s="95">
        <v>0.036</v>
      </c>
    </row>
    <row r="51" spans="1:4" ht="15.75">
      <c r="A51" s="90" t="s">
        <v>154</v>
      </c>
      <c r="B51" s="91"/>
      <c r="C51" s="92"/>
      <c r="D51" s="93"/>
    </row>
    <row r="52" spans="1:4" ht="15.75">
      <c r="A52" s="94" t="s">
        <v>155</v>
      </c>
      <c r="B52" s="95">
        <v>0.011</v>
      </c>
      <c r="C52" s="95">
        <v>0.013</v>
      </c>
      <c r="D52" s="95">
        <v>0.015</v>
      </c>
    </row>
    <row r="53" spans="1:4" ht="15.75">
      <c r="A53" s="94" t="s">
        <v>156</v>
      </c>
      <c r="B53" s="95">
        <v>0.012</v>
      </c>
      <c r="C53" s="95">
        <v>0.015</v>
      </c>
      <c r="D53" s="95">
        <v>0.018</v>
      </c>
    </row>
    <row r="54" spans="1:4" ht="15.75">
      <c r="A54" s="90" t="s">
        <v>157</v>
      </c>
      <c r="B54" s="91"/>
      <c r="C54" s="92"/>
      <c r="D54" s="93"/>
    </row>
    <row r="55" spans="1:4" ht="15.75">
      <c r="A55" s="94" t="s">
        <v>158</v>
      </c>
      <c r="B55" s="95">
        <v>0.017</v>
      </c>
      <c r="C55" s="95">
        <v>0.025</v>
      </c>
      <c r="D55" s="95">
        <v>0.03</v>
      </c>
    </row>
    <row r="56" spans="1:4" ht="15.75">
      <c r="A56" s="94" t="s">
        <v>159</v>
      </c>
      <c r="B56" s="95">
        <v>0.023</v>
      </c>
      <c r="C56" s="95">
        <v>0.032</v>
      </c>
      <c r="D56" s="95">
        <v>0.035</v>
      </c>
    </row>
    <row r="57" spans="1:4" ht="15.75">
      <c r="A57" s="90" t="s">
        <v>160</v>
      </c>
      <c r="B57" s="98">
        <v>0.013</v>
      </c>
      <c r="C57" s="98">
        <v>0.015</v>
      </c>
      <c r="D57" s="98">
        <v>0.017</v>
      </c>
    </row>
    <row r="58" spans="1:4" ht="15.75">
      <c r="A58" s="90" t="s">
        <v>161</v>
      </c>
      <c r="B58" s="91"/>
      <c r="C58" s="92"/>
      <c r="D58" s="93"/>
    </row>
    <row r="59" spans="1:4" ht="15.75">
      <c r="A59" s="94" t="s">
        <v>162</v>
      </c>
      <c r="B59" s="95">
        <v>0.013</v>
      </c>
      <c r="C59" s="95">
        <v>0.013</v>
      </c>
      <c r="D59" s="92" t="s">
        <v>144</v>
      </c>
    </row>
    <row r="60" spans="1:4" ht="15.75">
      <c r="A60" s="94" t="s">
        <v>163</v>
      </c>
      <c r="B60" s="95">
        <v>0.016</v>
      </c>
      <c r="C60" s="95">
        <v>0.016</v>
      </c>
      <c r="D60" s="92" t="s">
        <v>144</v>
      </c>
    </row>
    <row r="61" spans="1:4" ht="15.75">
      <c r="A61" s="90" t="s">
        <v>164</v>
      </c>
      <c r="B61" s="98">
        <v>0.03</v>
      </c>
      <c r="C61" s="92" t="s">
        <v>144</v>
      </c>
      <c r="D61" s="98">
        <v>0.05</v>
      </c>
    </row>
    <row r="62" spans="1:4" ht="15.75">
      <c r="A62" s="99"/>
      <c r="B62" s="99"/>
      <c r="C62" s="99"/>
      <c r="D62" s="99"/>
    </row>
    <row r="63" spans="1:4" ht="19.5" customHeight="1">
      <c r="A63" s="269" t="s">
        <v>165</v>
      </c>
      <c r="B63" s="269"/>
      <c r="C63" s="269"/>
      <c r="D63" s="269"/>
    </row>
    <row r="64" spans="1:4" ht="15" customHeight="1">
      <c r="A64" s="269"/>
      <c r="B64" s="269"/>
      <c r="C64" s="269"/>
      <c r="D64" s="269"/>
    </row>
    <row r="65" spans="1:4" ht="15" customHeight="1">
      <c r="A65" s="81"/>
      <c r="B65" s="81"/>
      <c r="C65" s="81"/>
      <c r="D65" s="81"/>
    </row>
    <row r="66" spans="1:4" ht="18.75">
      <c r="A66" s="270" t="s">
        <v>59</v>
      </c>
      <c r="B66" s="100" t="s">
        <v>166</v>
      </c>
      <c r="C66" s="99"/>
      <c r="D66" s="99"/>
    </row>
    <row r="67" spans="1:4" ht="18.75">
      <c r="A67" s="270"/>
      <c r="B67" s="101" t="s">
        <v>167</v>
      </c>
      <c r="C67" s="99"/>
      <c r="D67" s="99"/>
    </row>
    <row r="68" spans="1:4" ht="15.75">
      <c r="A68" s="99"/>
      <c r="B68" s="99"/>
      <c r="C68" s="99"/>
      <c r="D68" s="99"/>
    </row>
    <row r="69" spans="1:4" ht="15.75">
      <c r="A69" s="102" t="s">
        <v>168</v>
      </c>
      <c r="B69" s="99"/>
      <c r="C69" s="99"/>
      <c r="D69" s="99"/>
    </row>
    <row r="70" spans="1:4" ht="15.75">
      <c r="A70" s="99"/>
      <c r="B70" s="99"/>
      <c r="C70" s="99"/>
      <c r="D70" s="99"/>
    </row>
    <row r="71" spans="1:4" ht="15.75">
      <c r="A71" s="270" t="s">
        <v>169</v>
      </c>
      <c r="B71" s="100">
        <v>1</v>
      </c>
      <c r="C71" s="99"/>
      <c r="D71" s="99"/>
    </row>
    <row r="72" spans="1:4" ht="15.75">
      <c r="A72" s="270"/>
      <c r="B72" s="103" t="s">
        <v>104</v>
      </c>
      <c r="C72" s="99"/>
      <c r="D72" s="99"/>
    </row>
    <row r="73" spans="1:4" ht="15.75">
      <c r="A73" s="99"/>
      <c r="B73" s="99"/>
      <c r="C73" s="99"/>
      <c r="D73" s="99"/>
    </row>
    <row r="74" spans="1:5" ht="18.75">
      <c r="A74" s="272" t="s">
        <v>170</v>
      </c>
      <c r="B74" s="272"/>
      <c r="C74" s="272"/>
      <c r="D74" s="272"/>
      <c r="E74" s="273"/>
    </row>
    <row r="75" spans="1:7" ht="18.75">
      <c r="A75" s="104" t="s">
        <v>171</v>
      </c>
      <c r="B75" s="105"/>
      <c r="C75" s="81"/>
      <c r="D75" s="81"/>
      <c r="E75" s="81"/>
      <c r="F75" s="81"/>
      <c r="G75" s="81"/>
    </row>
    <row r="76" spans="1:4" ht="15.75">
      <c r="A76" s="104" t="s">
        <v>172</v>
      </c>
      <c r="B76" s="106"/>
      <c r="C76" s="106"/>
      <c r="D76" s="105"/>
    </row>
    <row r="77" spans="1:4" ht="15.75">
      <c r="A77" s="104" t="s">
        <v>173</v>
      </c>
      <c r="B77" s="106"/>
      <c r="C77" s="106"/>
      <c r="D77" s="105"/>
    </row>
    <row r="78" spans="1:4" ht="15.75">
      <c r="A78" s="104" t="s">
        <v>174</v>
      </c>
      <c r="B78" s="105"/>
      <c r="C78" s="105"/>
      <c r="D78" s="105"/>
    </row>
    <row r="79" spans="1:4" ht="15.75">
      <c r="A79" s="104" t="s">
        <v>175</v>
      </c>
      <c r="B79" s="105"/>
      <c r="C79" s="105"/>
      <c r="D79" s="105"/>
    </row>
    <row r="80" spans="1:4" ht="15.75">
      <c r="A80" s="104" t="s">
        <v>176</v>
      </c>
      <c r="B80" s="105"/>
      <c r="C80" s="105"/>
      <c r="D80" s="105"/>
    </row>
    <row r="81" spans="1:4" ht="15.75">
      <c r="A81" s="104" t="s">
        <v>177</v>
      </c>
      <c r="B81" s="105"/>
      <c r="C81" s="105"/>
      <c r="D81" s="105"/>
    </row>
    <row r="82" spans="1:4" ht="16.5" thickBot="1">
      <c r="A82" s="99"/>
      <c r="B82" s="99"/>
      <c r="C82" s="99"/>
      <c r="D82" s="99"/>
    </row>
    <row r="83" spans="1:5" ht="16.5" thickBot="1">
      <c r="A83" s="107" t="s">
        <v>178</v>
      </c>
      <c r="B83" s="107" t="s">
        <v>179</v>
      </c>
      <c r="C83" s="107" t="s">
        <v>180</v>
      </c>
      <c r="D83" s="107" t="s">
        <v>181</v>
      </c>
      <c r="E83" s="107" t="s">
        <v>182</v>
      </c>
    </row>
    <row r="84" spans="1:5" ht="30" customHeight="1">
      <c r="A84" s="274" t="s">
        <v>183</v>
      </c>
      <c r="B84" s="277" t="s">
        <v>184</v>
      </c>
      <c r="C84" s="277" t="s">
        <v>185</v>
      </c>
      <c r="D84" s="277" t="s">
        <v>186</v>
      </c>
      <c r="E84" s="277" t="s">
        <v>187</v>
      </c>
    </row>
    <row r="85" spans="1:5" ht="30" customHeight="1">
      <c r="A85" s="275"/>
      <c r="B85" s="271"/>
      <c r="C85" s="271"/>
      <c r="D85" s="271"/>
      <c r="E85" s="271"/>
    </row>
    <row r="86" spans="1:5" ht="30" customHeight="1">
      <c r="A86" s="276"/>
      <c r="B86" s="271"/>
      <c r="C86" s="271"/>
      <c r="D86" s="271"/>
      <c r="E86" s="271"/>
    </row>
    <row r="87" spans="1:5" ht="30" customHeight="1">
      <c r="A87" s="279" t="s">
        <v>188</v>
      </c>
      <c r="B87" s="271" t="s">
        <v>189</v>
      </c>
      <c r="C87" s="271" t="s">
        <v>190</v>
      </c>
      <c r="D87" s="271" t="s">
        <v>191</v>
      </c>
      <c r="E87" s="271" t="s">
        <v>187</v>
      </c>
    </row>
    <row r="88" spans="1:5" ht="30" customHeight="1">
      <c r="A88" s="279"/>
      <c r="B88" s="271"/>
      <c r="C88" s="271"/>
      <c r="D88" s="271"/>
      <c r="E88" s="271"/>
    </row>
    <row r="89" spans="1:5" ht="30" customHeight="1">
      <c r="A89" s="279"/>
      <c r="B89" s="271"/>
      <c r="C89" s="271"/>
      <c r="D89" s="271"/>
      <c r="E89" s="271"/>
    </row>
    <row r="91" spans="1:5" ht="15.75">
      <c r="A91" s="99" t="s">
        <v>192</v>
      </c>
      <c r="B91" s="99"/>
      <c r="C91" s="99"/>
      <c r="D91" s="99"/>
      <c r="E91" s="99"/>
    </row>
    <row r="92" spans="1:5" ht="15.75">
      <c r="A92" s="99"/>
      <c r="B92" s="99"/>
      <c r="C92" s="99"/>
      <c r="D92" s="99"/>
      <c r="E92" s="99"/>
    </row>
    <row r="93" spans="1:5" ht="18.75">
      <c r="A93" s="108" t="s">
        <v>193</v>
      </c>
      <c r="B93" s="99"/>
      <c r="C93" s="99"/>
      <c r="D93" s="99"/>
      <c r="E93" s="99"/>
    </row>
    <row r="94" spans="1:5" ht="15.75">
      <c r="A94" s="99"/>
      <c r="B94" s="99"/>
      <c r="C94" s="99"/>
      <c r="D94" s="99"/>
      <c r="E94" s="99"/>
    </row>
    <row r="95" spans="1:5" ht="15.75">
      <c r="A95" s="99" t="s">
        <v>194</v>
      </c>
      <c r="B95" s="99"/>
      <c r="C95" s="99"/>
      <c r="D95" s="99"/>
      <c r="E95" s="99"/>
    </row>
    <row r="96" spans="1:5" ht="18.75">
      <c r="A96" s="270" t="s">
        <v>195</v>
      </c>
      <c r="B96" s="100" t="s">
        <v>166</v>
      </c>
      <c r="C96" s="99"/>
      <c r="D96" s="99"/>
      <c r="E96" s="99"/>
    </row>
    <row r="97" spans="1:5" ht="15.75">
      <c r="A97" s="270"/>
      <c r="B97" s="101" t="s">
        <v>104</v>
      </c>
      <c r="C97" s="99"/>
      <c r="D97" s="99"/>
      <c r="E97" s="99"/>
    </row>
    <row r="98" spans="1:5" ht="15.75">
      <c r="A98" s="99"/>
      <c r="B98" s="99"/>
      <c r="C98" s="99"/>
      <c r="D98" s="99"/>
      <c r="E98" s="99"/>
    </row>
    <row r="99" spans="1:5" ht="18.75">
      <c r="A99" s="99" t="s">
        <v>196</v>
      </c>
      <c r="B99" s="99"/>
      <c r="C99" s="99"/>
      <c r="D99" s="99"/>
      <c r="E99" s="99"/>
    </row>
    <row r="100" spans="1:5" ht="15.75">
      <c r="A100" s="99" t="s">
        <v>197</v>
      </c>
      <c r="B100" s="99"/>
      <c r="C100" s="99"/>
      <c r="D100" s="99"/>
      <c r="E100" s="99"/>
    </row>
    <row r="101" spans="1:5" ht="15.75">
      <c r="A101" s="99"/>
      <c r="B101" s="99"/>
      <c r="C101" s="99"/>
      <c r="D101" s="99"/>
      <c r="E101" s="99"/>
    </row>
    <row r="102" spans="1:5" ht="15.75">
      <c r="A102" s="270" t="s">
        <v>198</v>
      </c>
      <c r="B102" s="101">
        <v>1</v>
      </c>
      <c r="C102" s="278" t="s">
        <v>199</v>
      </c>
      <c r="D102" s="99"/>
      <c r="E102" s="99"/>
    </row>
    <row r="103" spans="1:5" ht="15.75">
      <c r="A103" s="270"/>
      <c r="B103" s="103" t="s">
        <v>104</v>
      </c>
      <c r="C103" s="278"/>
      <c r="D103" s="99"/>
      <c r="E103" s="99"/>
    </row>
    <row r="104" spans="1:5" ht="15.75">
      <c r="A104" s="99"/>
      <c r="B104" s="99"/>
      <c r="C104" s="99"/>
      <c r="D104" s="99"/>
      <c r="E104" s="99"/>
    </row>
  </sheetData>
  <sheetProtection/>
  <mergeCells count="22">
    <mergeCell ref="A102:A103"/>
    <mergeCell ref="C102:C103"/>
    <mergeCell ref="A87:A89"/>
    <mergeCell ref="B87:B89"/>
    <mergeCell ref="C87:C89"/>
    <mergeCell ref="D87:D89"/>
    <mergeCell ref="A66:A67"/>
    <mergeCell ref="A71:A72"/>
    <mergeCell ref="E87:E89"/>
    <mergeCell ref="A96:A97"/>
    <mergeCell ref="A74:E74"/>
    <mergeCell ref="A84:A86"/>
    <mergeCell ref="B84:B86"/>
    <mergeCell ref="C84:C86"/>
    <mergeCell ref="D84:D86"/>
    <mergeCell ref="E84:E86"/>
    <mergeCell ref="A1:D2"/>
    <mergeCell ref="A4:D4"/>
    <mergeCell ref="A5:D5"/>
    <mergeCell ref="A6:A7"/>
    <mergeCell ref="B6:D6"/>
    <mergeCell ref="A63:D6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2"/>
  <rowBreaks count="1" manualBreakCount="1">
    <brk id="7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KÖZMŰTERV-M ´93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 Zoltán</dc:creator>
  <cp:keywords/>
  <dc:description/>
  <cp:lastModifiedBy>Varadi_Tamas</cp:lastModifiedBy>
  <cp:lastPrinted>2020-12-29T11:32:13Z</cp:lastPrinted>
  <dcterms:created xsi:type="dcterms:W3CDTF">1997-02-13T11:47:53Z</dcterms:created>
  <dcterms:modified xsi:type="dcterms:W3CDTF">2021-02-10T11:17:34Z</dcterms:modified>
  <cp:category/>
  <cp:version/>
  <cp:contentType/>
  <cp:contentStatus/>
</cp:coreProperties>
</file>